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80" yWindow="-15" windowWidth="7725" windowHeight="8325"/>
  </bookViews>
  <sheets>
    <sheet name="Scar. giacenza." sheetId="1" r:id="rId1"/>
    <sheet name="Tabella da stamp." sheetId="2" r:id="rId2"/>
    <sheet name="Foglio3" sheetId="3" r:id="rId3"/>
  </sheets>
  <definedNames>
    <definedName name="_xlnm.Print_Area" localSheetId="0">'Scar. giacenza.'!$Q$1:$AE$35</definedName>
    <definedName name="_xlnm.Print_Area" localSheetId="1">'Tabella da stamp.'!$A$1:$T$35</definedName>
  </definedNames>
  <calcPr calcId="125725" iterateDelta="1E-4"/>
</workbook>
</file>

<file path=xl/calcChain.xml><?xml version="1.0" encoding="utf-8"?>
<calcChain xmlns="http://schemas.openxmlformats.org/spreadsheetml/2006/main">
  <c r="S10" i="1"/>
  <c r="BF52" l="1"/>
  <c r="BF48"/>
  <c r="BF45"/>
  <c r="BF44"/>
  <c r="O34"/>
  <c r="M34" l="1"/>
  <c r="N34"/>
  <c r="BA52" l="1"/>
  <c r="BA45"/>
  <c r="BA44"/>
  <c r="AV52"/>
  <c r="AV53"/>
  <c r="AV45"/>
  <c r="AV44"/>
  <c r="AQ68"/>
  <c r="AQ45"/>
  <c r="AQ44"/>
  <c r="AQ43"/>
  <c r="AQ60"/>
  <c r="AQ46"/>
  <c r="L34"/>
  <c r="AX71"/>
  <c r="AX70"/>
  <c r="AX69"/>
  <c r="AN68"/>
  <c r="CP101"/>
  <c r="CO101"/>
  <c r="CH101"/>
  <c r="CG101"/>
  <c r="BZ101"/>
  <c r="BY101"/>
  <c r="BR101"/>
  <c r="BQ101"/>
  <c r="K34"/>
  <c r="CQ101" l="1"/>
  <c r="BH68" s="1"/>
  <c r="BS101"/>
  <c r="CA101"/>
  <c r="AX68" s="1"/>
  <c r="CI101"/>
  <c r="BC68" s="1"/>
  <c r="AS68" l="1"/>
  <c r="AS69"/>
  <c r="AL69"/>
  <c r="AL53"/>
  <c r="AL63"/>
  <c r="AL45" l="1"/>
  <c r="AN72"/>
  <c r="AN44"/>
  <c r="AN45"/>
  <c r="AN46"/>
  <c r="AN47"/>
  <c r="AN48"/>
  <c r="AN49"/>
  <c r="AN50"/>
  <c r="AN51"/>
  <c r="AN52"/>
  <c r="AN53"/>
  <c r="AN54"/>
  <c r="AN55"/>
  <c r="AN56"/>
  <c r="AN57"/>
  <c r="AN58"/>
  <c r="AN59"/>
  <c r="AN60"/>
  <c r="AN61"/>
  <c r="AN62"/>
  <c r="AN63"/>
  <c r="AN64"/>
  <c r="AN65"/>
  <c r="W102"/>
  <c r="O102"/>
  <c r="G102"/>
  <c r="V101"/>
  <c r="U101"/>
  <c r="N101"/>
  <c r="M101"/>
  <c r="F101"/>
  <c r="E101"/>
  <c r="AJ68"/>
  <c r="AI68"/>
  <c r="AD68"/>
  <c r="AU102"/>
  <c r="AM102"/>
  <c r="Y68"/>
  <c r="BJ101"/>
  <c r="BI101"/>
  <c r="BB101"/>
  <c r="BA101"/>
  <c r="AT101"/>
  <c r="AS101"/>
  <c r="AU101" s="1"/>
  <c r="AL101"/>
  <c r="AK101"/>
  <c r="AG68"/>
  <c r="AL71"/>
  <c r="BJ88"/>
  <c r="AG52"/>
  <c r="AG46"/>
  <c r="AG43"/>
  <c r="J34"/>
  <c r="W101" l="1"/>
  <c r="O101"/>
  <c r="G101"/>
  <c r="BK101"/>
  <c r="BC101"/>
  <c r="AM101"/>
  <c r="I34"/>
  <c r="AC72" l="1"/>
  <c r="AB68"/>
  <c r="AB44"/>
  <c r="AB63"/>
  <c r="H34"/>
  <c r="G34" l="1"/>
  <c r="BI67" l="1"/>
  <c r="O28" s="1"/>
  <c r="BI69"/>
  <c r="O30" s="1"/>
  <c r="BH71"/>
  <c r="BI71" s="1"/>
  <c r="O32" s="1"/>
  <c r="AT67"/>
  <c r="L28" s="1"/>
  <c r="AT68"/>
  <c r="L29" s="1"/>
  <c r="AS70"/>
  <c r="AT70" s="1"/>
  <c r="L31" s="1"/>
  <c r="AS71"/>
  <c r="AI69"/>
  <c r="AI70"/>
  <c r="AI71"/>
  <c r="AD69"/>
  <c r="AD70"/>
  <c r="AD71"/>
  <c r="BG72"/>
  <c r="BF72"/>
  <c r="BE72"/>
  <c r="BI70"/>
  <c r="O31" s="1"/>
  <c r="BI68"/>
  <c r="O29" s="1"/>
  <c r="BB72"/>
  <c r="BA72"/>
  <c r="AZ72"/>
  <c r="BD71"/>
  <c r="N32" s="1"/>
  <c r="BD70"/>
  <c r="N31" s="1"/>
  <c r="BD69"/>
  <c r="N30" s="1"/>
  <c r="BD68"/>
  <c r="N29" s="1"/>
  <c r="BD67"/>
  <c r="N28" s="1"/>
  <c r="AW72"/>
  <c r="AV72"/>
  <c r="AU72"/>
  <c r="AY71"/>
  <c r="M32" s="1"/>
  <c r="AY70"/>
  <c r="M31" s="1"/>
  <c r="AY69"/>
  <c r="M30" s="1"/>
  <c r="AY68"/>
  <c r="M29" s="1"/>
  <c r="AY67"/>
  <c r="M28" s="1"/>
  <c r="AR72"/>
  <c r="AQ72"/>
  <c r="AP72"/>
  <c r="AT71"/>
  <c r="L32" s="1"/>
  <c r="AT69"/>
  <c r="L30" s="1"/>
  <c r="AH74" l="1"/>
  <c r="M93" l="1"/>
  <c r="V66" l="1"/>
  <c r="V67"/>
  <c r="V69"/>
  <c r="V70"/>
  <c r="V71"/>
  <c r="W70" l="1"/>
  <c r="W68"/>
  <c r="W50"/>
  <c r="W45"/>
  <c r="W44"/>
  <c r="W62"/>
  <c r="W59"/>
  <c r="W58"/>
  <c r="W46"/>
  <c r="D34"/>
  <c r="N79" l="1"/>
  <c r="R68" l="1"/>
  <c r="R51"/>
  <c r="R45"/>
  <c r="R44"/>
  <c r="K80"/>
  <c r="S80"/>
  <c r="AA80"/>
  <c r="Q66"/>
  <c r="Q67"/>
  <c r="Q68"/>
  <c r="Q69"/>
  <c r="Q70"/>
  <c r="Q71"/>
  <c r="L66"/>
  <c r="L67"/>
  <c r="L68"/>
  <c r="L69"/>
  <c r="L70"/>
  <c r="L71"/>
  <c r="G66"/>
  <c r="G67"/>
  <c r="G68"/>
  <c r="G69"/>
  <c r="G70"/>
  <c r="G71"/>
  <c r="Z66"/>
  <c r="Z67"/>
  <c r="Z69"/>
  <c r="Z70"/>
  <c r="Z71"/>
  <c r="U66"/>
  <c r="U67"/>
  <c r="U69"/>
  <c r="U70"/>
  <c r="U71"/>
  <c r="P66"/>
  <c r="P67"/>
  <c r="P68"/>
  <c r="P69"/>
  <c r="P70"/>
  <c r="P71"/>
  <c r="K66"/>
  <c r="K67"/>
  <c r="K68"/>
  <c r="K69"/>
  <c r="K70"/>
  <c r="F66"/>
  <c r="F67"/>
  <c r="F68"/>
  <c r="F69"/>
  <c r="F70"/>
  <c r="F71"/>
  <c r="H27" l="1"/>
  <c r="H28"/>
  <c r="H30"/>
  <c r="H31"/>
  <c r="H32"/>
  <c r="AA97"/>
  <c r="AC101"/>
  <c r="AD101"/>
  <c r="F34"/>
  <c r="E34"/>
  <c r="AE101" l="1"/>
  <c r="T68" s="1"/>
  <c r="M45"/>
  <c r="M44"/>
  <c r="H45"/>
  <c r="H72" s="1"/>
  <c r="H71"/>
  <c r="K71" s="1"/>
  <c r="CP100"/>
  <c r="CO100"/>
  <c r="CP99"/>
  <c r="CO99"/>
  <c r="CP98"/>
  <c r="CO98"/>
  <c r="CP97"/>
  <c r="CO97"/>
  <c r="CP96"/>
  <c r="CO96"/>
  <c r="CP95"/>
  <c r="CO95"/>
  <c r="CP94"/>
  <c r="CO94"/>
  <c r="CP93"/>
  <c r="CO93"/>
  <c r="CP92"/>
  <c r="CO92"/>
  <c r="CP91"/>
  <c r="CO91"/>
  <c r="CP90"/>
  <c r="CO90"/>
  <c r="CP89"/>
  <c r="CO89"/>
  <c r="CP88"/>
  <c r="CO88"/>
  <c r="CP87"/>
  <c r="CO87"/>
  <c r="CP86"/>
  <c r="CO86"/>
  <c r="CP85"/>
  <c r="CO85"/>
  <c r="CP84"/>
  <c r="CO84"/>
  <c r="CP83"/>
  <c r="CO83"/>
  <c r="CP82"/>
  <c r="CO82"/>
  <c r="CP81"/>
  <c r="CO81"/>
  <c r="CP80"/>
  <c r="CO80"/>
  <c r="CP79"/>
  <c r="CO79"/>
  <c r="CP78"/>
  <c r="CO78"/>
  <c r="CH100"/>
  <c r="CG100"/>
  <c r="CH99"/>
  <c r="CG99"/>
  <c r="CH98"/>
  <c r="CG98"/>
  <c r="CH97"/>
  <c r="CG97"/>
  <c r="CH96"/>
  <c r="CG96"/>
  <c r="CH95"/>
  <c r="CG95"/>
  <c r="CH94"/>
  <c r="CG94"/>
  <c r="CH93"/>
  <c r="CG93"/>
  <c r="CH92"/>
  <c r="CG92"/>
  <c r="CH91"/>
  <c r="CG91"/>
  <c r="CH90"/>
  <c r="CG90"/>
  <c r="CH89"/>
  <c r="CG89"/>
  <c r="CH88"/>
  <c r="CG88"/>
  <c r="CH87"/>
  <c r="CG87"/>
  <c r="CH86"/>
  <c r="CG86"/>
  <c r="CH85"/>
  <c r="CG85"/>
  <c r="CI85" s="1"/>
  <c r="BC50" s="1"/>
  <c r="BD50" s="1"/>
  <c r="N11" s="1"/>
  <c r="CH84"/>
  <c r="CG84"/>
  <c r="CI84" s="1"/>
  <c r="BC49" s="1"/>
  <c r="BD49" s="1"/>
  <c r="N10" s="1"/>
  <c r="CH83"/>
  <c r="CG83"/>
  <c r="CI83" s="1"/>
  <c r="BC48" s="1"/>
  <c r="BD48" s="1"/>
  <c r="N9" s="1"/>
  <c r="CH82"/>
  <c r="CG82"/>
  <c r="CI82" s="1"/>
  <c r="BC47" s="1"/>
  <c r="BD47" s="1"/>
  <c r="N8" s="1"/>
  <c r="CH81"/>
  <c r="CG81"/>
  <c r="CI81" s="1"/>
  <c r="BC46" s="1"/>
  <c r="CH80"/>
  <c r="CG80"/>
  <c r="CI80" s="1"/>
  <c r="BC45" s="1"/>
  <c r="CH79"/>
  <c r="CG79"/>
  <c r="CI79" s="1"/>
  <c r="BC44" s="1"/>
  <c r="BD44" s="1"/>
  <c r="N5" s="1"/>
  <c r="CH78"/>
  <c r="CG78"/>
  <c r="CI78" s="1"/>
  <c r="BZ100"/>
  <c r="BY100"/>
  <c r="BZ99"/>
  <c r="BY99"/>
  <c r="BZ98"/>
  <c r="BY98"/>
  <c r="BZ97"/>
  <c r="BY97"/>
  <c r="BZ96"/>
  <c r="BY96"/>
  <c r="BZ95"/>
  <c r="BY95"/>
  <c r="BZ94"/>
  <c r="BY94"/>
  <c r="CA94" s="1"/>
  <c r="AX59" s="1"/>
  <c r="AY59" s="1"/>
  <c r="M20" s="1"/>
  <c r="BZ93"/>
  <c r="BY93"/>
  <c r="CA93" s="1"/>
  <c r="AX58" s="1"/>
  <c r="AY58" s="1"/>
  <c r="M19" s="1"/>
  <c r="BZ92"/>
  <c r="BY92"/>
  <c r="CA92" s="1"/>
  <c r="AX57" s="1"/>
  <c r="AY57" s="1"/>
  <c r="M18" s="1"/>
  <c r="BZ91"/>
  <c r="BY91"/>
  <c r="CA91" s="1"/>
  <c r="AX56" s="1"/>
  <c r="AY56" s="1"/>
  <c r="M17" s="1"/>
  <c r="BZ90"/>
  <c r="BY90"/>
  <c r="BZ89"/>
  <c r="BY89"/>
  <c r="CA89" s="1"/>
  <c r="AX54" s="1"/>
  <c r="AY54" s="1"/>
  <c r="M15" s="1"/>
  <c r="BZ88"/>
  <c r="BY88"/>
  <c r="CA88" s="1"/>
  <c r="AX53" s="1"/>
  <c r="AY53" s="1"/>
  <c r="M14" s="1"/>
  <c r="BZ87"/>
  <c r="BY87"/>
  <c r="BZ86"/>
  <c r="BY86"/>
  <c r="CA86" s="1"/>
  <c r="AX51" s="1"/>
  <c r="AY51" s="1"/>
  <c r="M12" s="1"/>
  <c r="BZ85"/>
  <c r="BY85"/>
  <c r="CA85" s="1"/>
  <c r="AX50" s="1"/>
  <c r="AY50" s="1"/>
  <c r="M11" s="1"/>
  <c r="BZ84"/>
  <c r="BY84"/>
  <c r="CA84" s="1"/>
  <c r="AX49" s="1"/>
  <c r="AY49" s="1"/>
  <c r="M10" s="1"/>
  <c r="BZ83"/>
  <c r="BY83"/>
  <c r="CA83" s="1"/>
  <c r="AX48" s="1"/>
  <c r="AY48" s="1"/>
  <c r="M9" s="1"/>
  <c r="BZ82"/>
  <c r="BY82"/>
  <c r="CA82" s="1"/>
  <c r="AX47" s="1"/>
  <c r="AY47" s="1"/>
  <c r="M8" s="1"/>
  <c r="BZ81"/>
  <c r="BY81"/>
  <c r="CA81" s="1"/>
  <c r="AX46" s="1"/>
  <c r="AY46" s="1"/>
  <c r="M7" s="1"/>
  <c r="BZ80"/>
  <c r="BY80"/>
  <c r="CA80" s="1"/>
  <c r="BZ79"/>
  <c r="BY79"/>
  <c r="CA79" s="1"/>
  <c r="AX44" s="1"/>
  <c r="AY44" s="1"/>
  <c r="M5" s="1"/>
  <c r="BZ78"/>
  <c r="BY78"/>
  <c r="CA78" s="1"/>
  <c r="BR100"/>
  <c r="BQ100"/>
  <c r="BR99"/>
  <c r="BQ99"/>
  <c r="BS99" s="1"/>
  <c r="AS64" s="1"/>
  <c r="AT64" s="1"/>
  <c r="L25" s="1"/>
  <c r="BR98"/>
  <c r="BQ98"/>
  <c r="BS98" s="1"/>
  <c r="AS63" s="1"/>
  <c r="AT63" s="1"/>
  <c r="L24" s="1"/>
  <c r="BR97"/>
  <c r="BQ97"/>
  <c r="BS97" s="1"/>
  <c r="AS62" s="1"/>
  <c r="AT62" s="1"/>
  <c r="L23" s="1"/>
  <c r="BR96"/>
  <c r="BQ96"/>
  <c r="BS96" s="1"/>
  <c r="AS61" s="1"/>
  <c r="AT61" s="1"/>
  <c r="L22" s="1"/>
  <c r="BR95"/>
  <c r="BQ95"/>
  <c r="BS95" s="1"/>
  <c r="AS60" s="1"/>
  <c r="AT60" s="1"/>
  <c r="L21" s="1"/>
  <c r="BR94"/>
  <c r="BQ94"/>
  <c r="BS94" s="1"/>
  <c r="AS59" s="1"/>
  <c r="AT59" s="1"/>
  <c r="L20" s="1"/>
  <c r="BR93"/>
  <c r="BQ93"/>
  <c r="BS93" s="1"/>
  <c r="AS58" s="1"/>
  <c r="AT58" s="1"/>
  <c r="L19" s="1"/>
  <c r="BR92"/>
  <c r="BQ92"/>
  <c r="BS92" s="1"/>
  <c r="AS57" s="1"/>
  <c r="AT57" s="1"/>
  <c r="L18" s="1"/>
  <c r="BR91"/>
  <c r="BQ91"/>
  <c r="BS91" s="1"/>
  <c r="AS56" s="1"/>
  <c r="AT56" s="1"/>
  <c r="L17" s="1"/>
  <c r="BR90"/>
  <c r="BQ90"/>
  <c r="BS90" s="1"/>
  <c r="AS55" s="1"/>
  <c r="AT55" s="1"/>
  <c r="L16" s="1"/>
  <c r="BR89"/>
  <c r="BQ89"/>
  <c r="BS89" s="1"/>
  <c r="AS54" s="1"/>
  <c r="AT54" s="1"/>
  <c r="L15" s="1"/>
  <c r="BR88"/>
  <c r="BQ88"/>
  <c r="BS88" s="1"/>
  <c r="AS53" s="1"/>
  <c r="AT53" s="1"/>
  <c r="L14" s="1"/>
  <c r="BR87"/>
  <c r="BQ87"/>
  <c r="BS87" s="1"/>
  <c r="AS52" s="1"/>
  <c r="AT52" s="1"/>
  <c r="L13" s="1"/>
  <c r="BR86"/>
  <c r="BQ86"/>
  <c r="BS86" s="1"/>
  <c r="AS51" s="1"/>
  <c r="AT51" s="1"/>
  <c r="L12" s="1"/>
  <c r="BR85"/>
  <c r="BQ85"/>
  <c r="BS85" s="1"/>
  <c r="AS50" s="1"/>
  <c r="AT50" s="1"/>
  <c r="L11" s="1"/>
  <c r="BR84"/>
  <c r="BQ84"/>
  <c r="BS84" s="1"/>
  <c r="AS49" s="1"/>
  <c r="AT49" s="1"/>
  <c r="L10" s="1"/>
  <c r="BR83"/>
  <c r="BQ83"/>
  <c r="BS83" s="1"/>
  <c r="AS48" s="1"/>
  <c r="AT48" s="1"/>
  <c r="L9" s="1"/>
  <c r="BR82"/>
  <c r="BQ82"/>
  <c r="BS82" s="1"/>
  <c r="AS47" s="1"/>
  <c r="AT47" s="1"/>
  <c r="L8" s="1"/>
  <c r="BR81"/>
  <c r="BQ81"/>
  <c r="BS81" s="1"/>
  <c r="AS46" s="1"/>
  <c r="AT46" s="1"/>
  <c r="L7" s="1"/>
  <c r="BR80"/>
  <c r="BQ80"/>
  <c r="BR79"/>
  <c r="BQ79"/>
  <c r="BS79" s="1"/>
  <c r="AS44" s="1"/>
  <c r="AT44" s="1"/>
  <c r="L5" s="1"/>
  <c r="BR78"/>
  <c r="BQ78"/>
  <c r="BS78" s="1"/>
  <c r="C45"/>
  <c r="C44"/>
  <c r="P34"/>
  <c r="CI86" l="1"/>
  <c r="BC51" s="1"/>
  <c r="BD51" s="1"/>
  <c r="N12" s="1"/>
  <c r="CA100"/>
  <c r="AX65" s="1"/>
  <c r="AY65" s="1"/>
  <c r="M26" s="1"/>
  <c r="CA99"/>
  <c r="AX64" s="1"/>
  <c r="AY64" s="1"/>
  <c r="M25" s="1"/>
  <c r="CA98"/>
  <c r="AX63" s="1"/>
  <c r="AY63" s="1"/>
  <c r="M24" s="1"/>
  <c r="CA97"/>
  <c r="AX62" s="1"/>
  <c r="AY62" s="1"/>
  <c r="M23" s="1"/>
  <c r="CA96"/>
  <c r="AX61" s="1"/>
  <c r="AY61" s="1"/>
  <c r="M22" s="1"/>
  <c r="CA95"/>
  <c r="AX60" s="1"/>
  <c r="AY60" s="1"/>
  <c r="M21" s="1"/>
  <c r="CA90"/>
  <c r="AX55" s="1"/>
  <c r="AY55" s="1"/>
  <c r="M16" s="1"/>
  <c r="CA87"/>
  <c r="AX52" s="1"/>
  <c r="AY52" s="1"/>
  <c r="M13" s="1"/>
  <c r="AX45"/>
  <c r="CA102"/>
  <c r="BS100"/>
  <c r="AS65" s="1"/>
  <c r="AT65" s="1"/>
  <c r="L26" s="1"/>
  <c r="BS80"/>
  <c r="AS45" s="1"/>
  <c r="AT45" s="1"/>
  <c r="L6" s="1"/>
  <c r="BD45"/>
  <c r="N6" s="1"/>
  <c r="AY45"/>
  <c r="M6" s="1"/>
  <c r="AT66"/>
  <c r="L27" s="1"/>
  <c r="AS43"/>
  <c r="AY66"/>
  <c r="M27" s="1"/>
  <c r="AX43"/>
  <c r="BC43"/>
  <c r="BD43" s="1"/>
  <c r="BD46"/>
  <c r="N7" s="1"/>
  <c r="U68"/>
  <c r="V68"/>
  <c r="Z68" s="1"/>
  <c r="H29" s="1"/>
  <c r="CI87"/>
  <c r="BC52" s="1"/>
  <c r="BD52" s="1"/>
  <c r="N13" s="1"/>
  <c r="CI88"/>
  <c r="BC53" s="1"/>
  <c r="BD53" s="1"/>
  <c r="N14" s="1"/>
  <c r="CI89"/>
  <c r="BC54" s="1"/>
  <c r="BD54" s="1"/>
  <c r="N15" s="1"/>
  <c r="CI90"/>
  <c r="BC55" s="1"/>
  <c r="BD55" s="1"/>
  <c r="N16" s="1"/>
  <c r="CI91"/>
  <c r="BC56" s="1"/>
  <c r="BD56" s="1"/>
  <c r="N17" s="1"/>
  <c r="CI92"/>
  <c r="BC57" s="1"/>
  <c r="BD57" s="1"/>
  <c r="N18" s="1"/>
  <c r="CI93"/>
  <c r="BC58" s="1"/>
  <c r="BD58" s="1"/>
  <c r="N19" s="1"/>
  <c r="CI94"/>
  <c r="BC59" s="1"/>
  <c r="BD59" s="1"/>
  <c r="N20" s="1"/>
  <c r="CI95"/>
  <c r="BC60" s="1"/>
  <c r="BD60" s="1"/>
  <c r="N21" s="1"/>
  <c r="CI96"/>
  <c r="BC61" s="1"/>
  <c r="BD61" s="1"/>
  <c r="N22" s="1"/>
  <c r="CI97"/>
  <c r="BC62" s="1"/>
  <c r="BD62" s="1"/>
  <c r="N23" s="1"/>
  <c r="CI98"/>
  <c r="BC63" s="1"/>
  <c r="BD63" s="1"/>
  <c r="N24" s="1"/>
  <c r="CI99"/>
  <c r="BC64" s="1"/>
  <c r="BD64" s="1"/>
  <c r="N25" s="1"/>
  <c r="CI100"/>
  <c r="BC65" s="1"/>
  <c r="BD65" s="1"/>
  <c r="N26" s="1"/>
  <c r="CQ78"/>
  <c r="CQ79"/>
  <c r="BH44" s="1"/>
  <c r="BI44" s="1"/>
  <c r="O5" s="1"/>
  <c r="CQ80"/>
  <c r="CQ81"/>
  <c r="BH46" s="1"/>
  <c r="CQ82"/>
  <c r="BH47" s="1"/>
  <c r="BI47" s="1"/>
  <c r="O8" s="1"/>
  <c r="CQ83"/>
  <c r="BH48" s="1"/>
  <c r="BI48" s="1"/>
  <c r="O9" s="1"/>
  <c r="CQ84"/>
  <c r="BH49" s="1"/>
  <c r="BI49" s="1"/>
  <c r="O10" s="1"/>
  <c r="CQ85"/>
  <c r="BH50" s="1"/>
  <c r="BI50" s="1"/>
  <c r="O11" s="1"/>
  <c r="CQ86"/>
  <c r="BH51" s="1"/>
  <c r="BI51" s="1"/>
  <c r="O12" s="1"/>
  <c r="CQ87"/>
  <c r="BH52" s="1"/>
  <c r="BI52" s="1"/>
  <c r="O13" s="1"/>
  <c r="CQ88"/>
  <c r="BH53" s="1"/>
  <c r="BI53" s="1"/>
  <c r="O14" s="1"/>
  <c r="CQ89"/>
  <c r="BH54" s="1"/>
  <c r="BI54" s="1"/>
  <c r="O15" s="1"/>
  <c r="CQ90"/>
  <c r="BH55" s="1"/>
  <c r="BI55" s="1"/>
  <c r="O16" s="1"/>
  <c r="CQ91"/>
  <c r="BH56" s="1"/>
  <c r="BI56" s="1"/>
  <c r="O17" s="1"/>
  <c r="CQ92"/>
  <c r="BH57" s="1"/>
  <c r="BI57" s="1"/>
  <c r="O18" s="1"/>
  <c r="CQ93"/>
  <c r="BH58" s="1"/>
  <c r="BI58" s="1"/>
  <c r="O19" s="1"/>
  <c r="CQ94"/>
  <c r="BH59" s="1"/>
  <c r="BI59" s="1"/>
  <c r="O20" s="1"/>
  <c r="CQ95"/>
  <c r="BH60" s="1"/>
  <c r="BI60" s="1"/>
  <c r="O21" s="1"/>
  <c r="CQ96"/>
  <c r="BH61" s="1"/>
  <c r="BI61" s="1"/>
  <c r="O22" s="1"/>
  <c r="CQ97"/>
  <c r="BH62" s="1"/>
  <c r="BI62" s="1"/>
  <c r="O23" s="1"/>
  <c r="CQ98"/>
  <c r="BH63" s="1"/>
  <c r="BI63" s="1"/>
  <c r="O24" s="1"/>
  <c r="CQ99"/>
  <c r="BH64" s="1"/>
  <c r="BI64" s="1"/>
  <c r="O25" s="1"/>
  <c r="CQ100"/>
  <c r="BH65" s="1"/>
  <c r="BI65" s="1"/>
  <c r="O26" s="1"/>
  <c r="AL72"/>
  <c r="AM72"/>
  <c r="AG72"/>
  <c r="AH72"/>
  <c r="AF72"/>
  <c r="AB72"/>
  <c r="AA72"/>
  <c r="BJ100"/>
  <c r="BI100"/>
  <c r="BJ99"/>
  <c r="BI99"/>
  <c r="BJ98"/>
  <c r="BI98"/>
  <c r="BJ97"/>
  <c r="BI97"/>
  <c r="BJ96"/>
  <c r="BI96"/>
  <c r="BJ95"/>
  <c r="BI95"/>
  <c r="BJ94"/>
  <c r="BI94"/>
  <c r="BJ93"/>
  <c r="BI93"/>
  <c r="BJ92"/>
  <c r="BI92"/>
  <c r="BJ91"/>
  <c r="BI91"/>
  <c r="BJ90"/>
  <c r="BI90"/>
  <c r="BJ89"/>
  <c r="BI89"/>
  <c r="BI88"/>
  <c r="BJ87"/>
  <c r="BI87"/>
  <c r="BJ86"/>
  <c r="BI86"/>
  <c r="BJ85"/>
  <c r="BI85"/>
  <c r="BJ84"/>
  <c r="BI84"/>
  <c r="BJ83"/>
  <c r="BI83"/>
  <c r="BJ82"/>
  <c r="BI82"/>
  <c r="BJ81"/>
  <c r="BI81"/>
  <c r="BJ80"/>
  <c r="BI80"/>
  <c r="BJ79"/>
  <c r="BI79"/>
  <c r="BJ78"/>
  <c r="BI78"/>
  <c r="BB100"/>
  <c r="BA100"/>
  <c r="BB99"/>
  <c r="BA99"/>
  <c r="BB98"/>
  <c r="BA98"/>
  <c r="BB97"/>
  <c r="BA97"/>
  <c r="BB96"/>
  <c r="BA96"/>
  <c r="BB95"/>
  <c r="BA95"/>
  <c r="BB94"/>
  <c r="BA94"/>
  <c r="BB93"/>
  <c r="BA93"/>
  <c r="BB92"/>
  <c r="BA92"/>
  <c r="BB91"/>
  <c r="BA91"/>
  <c r="BB90"/>
  <c r="BA90"/>
  <c r="BB89"/>
  <c r="BA89"/>
  <c r="BB88"/>
  <c r="BA88"/>
  <c r="BB87"/>
  <c r="BA87"/>
  <c r="BB86"/>
  <c r="BA86"/>
  <c r="BB85"/>
  <c r="BA85"/>
  <c r="BB84"/>
  <c r="BA84"/>
  <c r="BB83"/>
  <c r="BA83"/>
  <c r="BB82"/>
  <c r="BA82"/>
  <c r="BB81"/>
  <c r="BA81"/>
  <c r="BB80"/>
  <c r="BA80"/>
  <c r="BB79"/>
  <c r="BA79"/>
  <c r="BB78"/>
  <c r="BA78"/>
  <c r="AT100"/>
  <c r="AS100"/>
  <c r="AT99"/>
  <c r="AS99"/>
  <c r="AT98"/>
  <c r="AS98"/>
  <c r="AT97"/>
  <c r="AS97"/>
  <c r="AT96"/>
  <c r="AS96"/>
  <c r="AT95"/>
  <c r="AS95"/>
  <c r="AT94"/>
  <c r="AS94"/>
  <c r="AT93"/>
  <c r="AS93"/>
  <c r="AT92"/>
  <c r="AS92"/>
  <c r="AT91"/>
  <c r="AS91"/>
  <c r="AT90"/>
  <c r="AS90"/>
  <c r="AT89"/>
  <c r="AS89"/>
  <c r="AT88"/>
  <c r="AS88"/>
  <c r="AT87"/>
  <c r="AS87"/>
  <c r="AT86"/>
  <c r="AS86"/>
  <c r="AT85"/>
  <c r="AS85"/>
  <c r="AT84"/>
  <c r="AS84"/>
  <c r="AT83"/>
  <c r="AS83"/>
  <c r="AT82"/>
  <c r="AS82"/>
  <c r="AT81"/>
  <c r="AS81"/>
  <c r="AT80"/>
  <c r="AS80"/>
  <c r="AT79"/>
  <c r="AS79"/>
  <c r="AT78"/>
  <c r="AS78"/>
  <c r="AL100"/>
  <c r="AK100"/>
  <c r="AL99"/>
  <c r="AK99"/>
  <c r="AL98"/>
  <c r="AK98"/>
  <c r="AL97"/>
  <c r="AK97"/>
  <c r="AL96"/>
  <c r="AK96"/>
  <c r="AL95"/>
  <c r="AK95"/>
  <c r="AL94"/>
  <c r="AK94"/>
  <c r="AL93"/>
  <c r="AK93"/>
  <c r="AL92"/>
  <c r="AK92"/>
  <c r="AL91"/>
  <c r="AK91"/>
  <c r="AL90"/>
  <c r="AK90"/>
  <c r="AL89"/>
  <c r="AK89"/>
  <c r="AL88"/>
  <c r="AK88"/>
  <c r="AL87"/>
  <c r="AK87"/>
  <c r="AL86"/>
  <c r="AK86"/>
  <c r="AL85"/>
  <c r="AK85"/>
  <c r="AL84"/>
  <c r="AK84"/>
  <c r="AL83"/>
  <c r="AK83"/>
  <c r="AL82"/>
  <c r="AK82"/>
  <c r="AL81"/>
  <c r="AK81"/>
  <c r="AL80"/>
  <c r="AK80"/>
  <c r="AL79"/>
  <c r="AK79"/>
  <c r="AL78"/>
  <c r="AK78"/>
  <c r="AO71"/>
  <c r="K32" s="1"/>
  <c r="AO70"/>
  <c r="K31" s="1"/>
  <c r="AO69"/>
  <c r="K30" s="1"/>
  <c r="AO68"/>
  <c r="K29" s="1"/>
  <c r="AJ71"/>
  <c r="J32" s="1"/>
  <c r="AJ70"/>
  <c r="J31" s="1"/>
  <c r="AJ69"/>
  <c r="J30" s="1"/>
  <c r="J29"/>
  <c r="AE71"/>
  <c r="I32" s="1"/>
  <c r="AE70"/>
  <c r="I31" s="1"/>
  <c r="AE69"/>
  <c r="I30" s="1"/>
  <c r="AE68"/>
  <c r="I29" s="1"/>
  <c r="AE67"/>
  <c r="I28" s="1"/>
  <c r="X72"/>
  <c r="W72"/>
  <c r="AC100"/>
  <c r="U100"/>
  <c r="M100"/>
  <c r="E100"/>
  <c r="AD79"/>
  <c r="AD78"/>
  <c r="AD100"/>
  <c r="AE100" s="1"/>
  <c r="T65" s="1"/>
  <c r="V65" s="1"/>
  <c r="AD99"/>
  <c r="AC99"/>
  <c r="AD98"/>
  <c r="AC98"/>
  <c r="AD97"/>
  <c r="AC97"/>
  <c r="AD96"/>
  <c r="AC96"/>
  <c r="AD95"/>
  <c r="AC95"/>
  <c r="AD94"/>
  <c r="AC94"/>
  <c r="AD93"/>
  <c r="AC93"/>
  <c r="AD92"/>
  <c r="AC92"/>
  <c r="AD91"/>
  <c r="AC91"/>
  <c r="AD90"/>
  <c r="AC90"/>
  <c r="AD89"/>
  <c r="AC89"/>
  <c r="AD88"/>
  <c r="AC88"/>
  <c r="AD87"/>
  <c r="AC87"/>
  <c r="AD86"/>
  <c r="AC86"/>
  <c r="AD85"/>
  <c r="AC85"/>
  <c r="AD84"/>
  <c r="AC84"/>
  <c r="AD83"/>
  <c r="AC83"/>
  <c r="AD82"/>
  <c r="AC82"/>
  <c r="AD81"/>
  <c r="AC81"/>
  <c r="AD80"/>
  <c r="AC80"/>
  <c r="AC79"/>
  <c r="AC78"/>
  <c r="S72"/>
  <c r="R72"/>
  <c r="G32"/>
  <c r="G31"/>
  <c r="G30"/>
  <c r="G29"/>
  <c r="G28"/>
  <c r="G27"/>
  <c r="N72"/>
  <c r="M72"/>
  <c r="F32"/>
  <c r="F31"/>
  <c r="F30"/>
  <c r="F29"/>
  <c r="F28"/>
  <c r="F27"/>
  <c r="V100"/>
  <c r="W100" s="1"/>
  <c r="O65" s="1"/>
  <c r="Q65" s="1"/>
  <c r="U65" s="1"/>
  <c r="V99"/>
  <c r="U99"/>
  <c r="V98"/>
  <c r="U98"/>
  <c r="V97"/>
  <c r="U97"/>
  <c r="V96"/>
  <c r="U96"/>
  <c r="V95"/>
  <c r="U95"/>
  <c r="V94"/>
  <c r="U94"/>
  <c r="V93"/>
  <c r="U93"/>
  <c r="V92"/>
  <c r="U92"/>
  <c r="V91"/>
  <c r="U91"/>
  <c r="V90"/>
  <c r="U90"/>
  <c r="V89"/>
  <c r="U89"/>
  <c r="V88"/>
  <c r="U88"/>
  <c r="V87"/>
  <c r="U87"/>
  <c r="V86"/>
  <c r="U86"/>
  <c r="V85"/>
  <c r="U85"/>
  <c r="V84"/>
  <c r="U84"/>
  <c r="V83"/>
  <c r="U83"/>
  <c r="V82"/>
  <c r="U82"/>
  <c r="V81"/>
  <c r="U81"/>
  <c r="V80"/>
  <c r="U80"/>
  <c r="V79"/>
  <c r="U79"/>
  <c r="U78"/>
  <c r="W78" s="1"/>
  <c r="O43" s="1"/>
  <c r="Q43" s="1"/>
  <c r="CI102" l="1"/>
  <c r="BH45"/>
  <c r="CQ102"/>
  <c r="AS72"/>
  <c r="BS102"/>
  <c r="BI45"/>
  <c r="O6" s="1"/>
  <c r="AX72"/>
  <c r="BI66"/>
  <c r="O27" s="1"/>
  <c r="BH43"/>
  <c r="BI43" s="1"/>
  <c r="BD66"/>
  <c r="N27" s="1"/>
  <c r="BI46"/>
  <c r="O7" s="1"/>
  <c r="N4"/>
  <c r="AY43"/>
  <c r="AT43"/>
  <c r="AU100"/>
  <c r="AD65" s="1"/>
  <c r="AU99"/>
  <c r="AD64" s="1"/>
  <c r="AU89"/>
  <c r="AD54" s="1"/>
  <c r="AU96"/>
  <c r="AD61" s="1"/>
  <c r="AU93"/>
  <c r="AD58" s="1"/>
  <c r="AU92"/>
  <c r="AD57" s="1"/>
  <c r="AU91"/>
  <c r="AD56" s="1"/>
  <c r="AU88"/>
  <c r="AD53" s="1"/>
  <c r="AU87"/>
  <c r="AD52" s="1"/>
  <c r="AU86"/>
  <c r="AD51" s="1"/>
  <c r="AU85"/>
  <c r="AD50" s="1"/>
  <c r="AU83"/>
  <c r="AD48" s="1"/>
  <c r="AU82"/>
  <c r="AD47" s="1"/>
  <c r="AU79"/>
  <c r="AD44" s="1"/>
  <c r="AU81"/>
  <c r="AD46" s="1"/>
  <c r="AU80"/>
  <c r="AD45" s="1"/>
  <c r="AE97"/>
  <c r="AE98"/>
  <c r="T63" s="1"/>
  <c r="V63" s="1"/>
  <c r="AE99"/>
  <c r="T64" s="1"/>
  <c r="V64" s="1"/>
  <c r="G26"/>
  <c r="AE96"/>
  <c r="T61" s="1"/>
  <c r="V61" s="1"/>
  <c r="AE94"/>
  <c r="T59" s="1"/>
  <c r="V59" s="1"/>
  <c r="AE93"/>
  <c r="T58" s="1"/>
  <c r="V58" s="1"/>
  <c r="AE91"/>
  <c r="T56" s="1"/>
  <c r="V56" s="1"/>
  <c r="AE90"/>
  <c r="T55" s="1"/>
  <c r="V55" s="1"/>
  <c r="AE89"/>
  <c r="T54" s="1"/>
  <c r="V54" s="1"/>
  <c r="AE88"/>
  <c r="T53" s="1"/>
  <c r="V53" s="1"/>
  <c r="AE87"/>
  <c r="T52" s="1"/>
  <c r="V52" s="1"/>
  <c r="AE86"/>
  <c r="T51" s="1"/>
  <c r="V51" s="1"/>
  <c r="AE82"/>
  <c r="T47" s="1"/>
  <c r="V47" s="1"/>
  <c r="AE81"/>
  <c r="T46" s="1"/>
  <c r="V46" s="1"/>
  <c r="AE79"/>
  <c r="T44" s="1"/>
  <c r="V44" s="1"/>
  <c r="AE84"/>
  <c r="T49" s="1"/>
  <c r="V49" s="1"/>
  <c r="AU97"/>
  <c r="AD62" s="1"/>
  <c r="AU90"/>
  <c r="AD55" s="1"/>
  <c r="AU95"/>
  <c r="AD60" s="1"/>
  <c r="BC78"/>
  <c r="AI43" s="1"/>
  <c r="BC79"/>
  <c r="AI44" s="1"/>
  <c r="BC80"/>
  <c r="AI45" s="1"/>
  <c r="BC81"/>
  <c r="AI46" s="1"/>
  <c r="BC82"/>
  <c r="AI47" s="1"/>
  <c r="BC83"/>
  <c r="AI48" s="1"/>
  <c r="BC84"/>
  <c r="AI49" s="1"/>
  <c r="BC85"/>
  <c r="AI50" s="1"/>
  <c r="BC86"/>
  <c r="AI51" s="1"/>
  <c r="BC87"/>
  <c r="AI52" s="1"/>
  <c r="BC88"/>
  <c r="BC89"/>
  <c r="AI54" s="1"/>
  <c r="BC90"/>
  <c r="AI55" s="1"/>
  <c r="BC91"/>
  <c r="AI56" s="1"/>
  <c r="BC92"/>
  <c r="AI57" s="1"/>
  <c r="BC93"/>
  <c r="AI58" s="1"/>
  <c r="BC94"/>
  <c r="AI59" s="1"/>
  <c r="BC95"/>
  <c r="AI60" s="1"/>
  <c r="BC96"/>
  <c r="AI61" s="1"/>
  <c r="BC97"/>
  <c r="AI62" s="1"/>
  <c r="BC98"/>
  <c r="AI63" s="1"/>
  <c r="BC99"/>
  <c r="AI64" s="1"/>
  <c r="BC100"/>
  <c r="AI65" s="1"/>
  <c r="AM80"/>
  <c r="Y45" s="1"/>
  <c r="AM81"/>
  <c r="Y46" s="1"/>
  <c r="AM82"/>
  <c r="Y47" s="1"/>
  <c r="AM83"/>
  <c r="Y48" s="1"/>
  <c r="AM84"/>
  <c r="Y49" s="1"/>
  <c r="AM85"/>
  <c r="Y50" s="1"/>
  <c r="AM86"/>
  <c r="Y51" s="1"/>
  <c r="AM87"/>
  <c r="Y52" s="1"/>
  <c r="AM88"/>
  <c r="Y53" s="1"/>
  <c r="AM89"/>
  <c r="Y54" s="1"/>
  <c r="AM90"/>
  <c r="Y55" s="1"/>
  <c r="AM91"/>
  <c r="Y56" s="1"/>
  <c r="AM92"/>
  <c r="Y57" s="1"/>
  <c r="AM93"/>
  <c r="Y58" s="1"/>
  <c r="AM94"/>
  <c r="Y59" s="1"/>
  <c r="AM95"/>
  <c r="Y60" s="1"/>
  <c r="AM96"/>
  <c r="Y61" s="1"/>
  <c r="AM97"/>
  <c r="Y62" s="1"/>
  <c r="AM98"/>
  <c r="Y63" s="1"/>
  <c r="AM99"/>
  <c r="Y64" s="1"/>
  <c r="AM100"/>
  <c r="Y65" s="1"/>
  <c r="AM79"/>
  <c r="Y44" s="1"/>
  <c r="AM78"/>
  <c r="BK78"/>
  <c r="AN43" s="1"/>
  <c r="BK79"/>
  <c r="BK80"/>
  <c r="BK81"/>
  <c r="BK82"/>
  <c r="BK83"/>
  <c r="BK84"/>
  <c r="BK85"/>
  <c r="BK86"/>
  <c r="BK87"/>
  <c r="BK88"/>
  <c r="BK89"/>
  <c r="BK90"/>
  <c r="BK91"/>
  <c r="BK92"/>
  <c r="BK93"/>
  <c r="BK94"/>
  <c r="BK95"/>
  <c r="BK96"/>
  <c r="BK97"/>
  <c r="BK98"/>
  <c r="BK99"/>
  <c r="BK100"/>
  <c r="AU78"/>
  <c r="AD43" s="1"/>
  <c r="AU84"/>
  <c r="AU94"/>
  <c r="AD59" s="1"/>
  <c r="AU98"/>
  <c r="AE78"/>
  <c r="T43" s="1"/>
  <c r="V43" s="1"/>
  <c r="AE95"/>
  <c r="T60" s="1"/>
  <c r="V60" s="1"/>
  <c r="AE92"/>
  <c r="T57" s="1"/>
  <c r="V57" s="1"/>
  <c r="AE85"/>
  <c r="T50" s="1"/>
  <c r="V50" s="1"/>
  <c r="AE83"/>
  <c r="T48" s="1"/>
  <c r="V48" s="1"/>
  <c r="AE80"/>
  <c r="T45" s="1"/>
  <c r="V45" s="1"/>
  <c r="U43"/>
  <c r="G4" s="1"/>
  <c r="W80"/>
  <c r="W81"/>
  <c r="O46" s="1"/>
  <c r="Q46" s="1"/>
  <c r="U46" s="1"/>
  <c r="G7" s="1"/>
  <c r="W82"/>
  <c r="O47" s="1"/>
  <c r="Q47" s="1"/>
  <c r="U47" s="1"/>
  <c r="W84"/>
  <c r="O49" s="1"/>
  <c r="Q49" s="1"/>
  <c r="U49" s="1"/>
  <c r="W90"/>
  <c r="O55" s="1"/>
  <c r="Q55" s="1"/>
  <c r="U55" s="1"/>
  <c r="W91"/>
  <c r="O56" s="1"/>
  <c r="Q56" s="1"/>
  <c r="U56" s="1"/>
  <c r="G17" s="1"/>
  <c r="W93"/>
  <c r="O58" s="1"/>
  <c r="Q58" s="1"/>
  <c r="W94"/>
  <c r="O59" s="1"/>
  <c r="Q59" s="1"/>
  <c r="W98"/>
  <c r="O63" s="1"/>
  <c r="Q63" s="1"/>
  <c r="U63" s="1"/>
  <c r="W99"/>
  <c r="O64" s="1"/>
  <c r="Q64" s="1"/>
  <c r="U64" s="1"/>
  <c r="W95"/>
  <c r="W92"/>
  <c r="O57" s="1"/>
  <c r="Q57" s="1"/>
  <c r="U57" s="1"/>
  <c r="W96"/>
  <c r="O61" s="1"/>
  <c r="Q61" s="1"/>
  <c r="U61" s="1"/>
  <c r="W97"/>
  <c r="W89"/>
  <c r="O54" s="1"/>
  <c r="Q54" s="1"/>
  <c r="W88"/>
  <c r="O53" s="1"/>
  <c r="Q53" s="1"/>
  <c r="U53" s="1"/>
  <c r="W87"/>
  <c r="O52" s="1"/>
  <c r="Q52" s="1"/>
  <c r="W85"/>
  <c r="O50" s="1"/>
  <c r="Q50" s="1"/>
  <c r="U50" s="1"/>
  <c r="W86"/>
  <c r="O51" s="1"/>
  <c r="Q51" s="1"/>
  <c r="W83"/>
  <c r="O48" s="1"/>
  <c r="Q48" s="1"/>
  <c r="U48" s="1"/>
  <c r="W79"/>
  <c r="O44" s="1"/>
  <c r="Q44" s="1"/>
  <c r="F78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E32"/>
  <c r="E31"/>
  <c r="E30"/>
  <c r="E29"/>
  <c r="E28"/>
  <c r="E27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O100" s="1"/>
  <c r="I72"/>
  <c r="M99"/>
  <c r="M98"/>
  <c r="M97"/>
  <c r="M96"/>
  <c r="M95"/>
  <c r="M94"/>
  <c r="M92"/>
  <c r="M91"/>
  <c r="O91" s="1"/>
  <c r="M90"/>
  <c r="M89"/>
  <c r="M88"/>
  <c r="O88" s="1"/>
  <c r="M87"/>
  <c r="O87" s="1"/>
  <c r="M86"/>
  <c r="M85"/>
  <c r="M84"/>
  <c r="O84" s="1"/>
  <c r="M83"/>
  <c r="O83" s="1"/>
  <c r="M82"/>
  <c r="O82" s="1"/>
  <c r="M81"/>
  <c r="O81" s="1"/>
  <c r="M80"/>
  <c r="M79"/>
  <c r="M78"/>
  <c r="O78" s="1"/>
  <c r="J43" s="1"/>
  <c r="L43" s="1"/>
  <c r="P43" s="1"/>
  <c r="F4" s="1"/>
  <c r="BD72" l="1"/>
  <c r="N33" s="1"/>
  <c r="N35" s="1"/>
  <c r="BH72"/>
  <c r="BC72"/>
  <c r="BK102"/>
  <c r="AI53"/>
  <c r="BC102"/>
  <c r="L4"/>
  <c r="AT72"/>
  <c r="L33" s="1"/>
  <c r="L35" s="1"/>
  <c r="AY72"/>
  <c r="M33" s="1"/>
  <c r="M35" s="1"/>
  <c r="M4"/>
  <c r="O4"/>
  <c r="BI72"/>
  <c r="O33" s="1"/>
  <c r="AJ63"/>
  <c r="J24" s="1"/>
  <c r="AD63"/>
  <c r="AE63" s="1"/>
  <c r="I24" s="1"/>
  <c r="AJ49"/>
  <c r="J10" s="1"/>
  <c r="AD49"/>
  <c r="Z44"/>
  <c r="H5" s="1"/>
  <c r="AE64"/>
  <c r="I25" s="1"/>
  <c r="Z64"/>
  <c r="H25" s="1"/>
  <c r="Z60"/>
  <c r="H21" s="1"/>
  <c r="AE58"/>
  <c r="I19" s="1"/>
  <c r="Z58"/>
  <c r="H19" s="1"/>
  <c r="AE56"/>
  <c r="I17" s="1"/>
  <c r="Z56"/>
  <c r="H17" s="1"/>
  <c r="AE54"/>
  <c r="I15" s="1"/>
  <c r="Z54"/>
  <c r="H15" s="1"/>
  <c r="AE52"/>
  <c r="I13" s="1"/>
  <c r="Z52"/>
  <c r="H13" s="1"/>
  <c r="AE50"/>
  <c r="I11" s="1"/>
  <c r="Z50"/>
  <c r="H11" s="1"/>
  <c r="AE48"/>
  <c r="I9" s="1"/>
  <c r="Z48"/>
  <c r="H9" s="1"/>
  <c r="AE46"/>
  <c r="I7" s="1"/>
  <c r="Z46"/>
  <c r="H7" s="1"/>
  <c r="AE65"/>
  <c r="I26" s="1"/>
  <c r="Z65"/>
  <c r="H26" s="1"/>
  <c r="Z63"/>
  <c r="H24" s="1"/>
  <c r="AE61"/>
  <c r="I22" s="1"/>
  <c r="Z61"/>
  <c r="H22" s="1"/>
  <c r="Z59"/>
  <c r="H20" s="1"/>
  <c r="AE57"/>
  <c r="I18" s="1"/>
  <c r="Z57"/>
  <c r="H18" s="1"/>
  <c r="AE55"/>
  <c r="I16" s="1"/>
  <c r="Z55"/>
  <c r="H16" s="1"/>
  <c r="AE53"/>
  <c r="I14" s="1"/>
  <c r="Z53"/>
  <c r="H14" s="1"/>
  <c r="AE51"/>
  <c r="I12" s="1"/>
  <c r="Z51"/>
  <c r="H12" s="1"/>
  <c r="Z49"/>
  <c r="H10" s="1"/>
  <c r="AE47"/>
  <c r="I8" s="1"/>
  <c r="Z47"/>
  <c r="H8" s="1"/>
  <c r="AE45"/>
  <c r="I6" s="1"/>
  <c r="Z45"/>
  <c r="H6" s="1"/>
  <c r="U59"/>
  <c r="G20" s="1"/>
  <c r="G10"/>
  <c r="U44"/>
  <c r="G5" s="1"/>
  <c r="U51"/>
  <c r="G12" s="1"/>
  <c r="U52"/>
  <c r="G13" s="1"/>
  <c r="U54"/>
  <c r="G15" s="1"/>
  <c r="U58"/>
  <c r="G19" s="1"/>
  <c r="G8"/>
  <c r="G14"/>
  <c r="G16"/>
  <c r="G22"/>
  <c r="G25"/>
  <c r="G24"/>
  <c r="O79"/>
  <c r="J44" s="1"/>
  <c r="L44" s="1"/>
  <c r="P44" s="1"/>
  <c r="F5" s="1"/>
  <c r="T62"/>
  <c r="V62" s="1"/>
  <c r="Z62" s="1"/>
  <c r="H23" s="1"/>
  <c r="AE102"/>
  <c r="O60"/>
  <c r="Q60" s="1"/>
  <c r="U60" s="1"/>
  <c r="G21" s="1"/>
  <c r="O89"/>
  <c r="J54" s="1"/>
  <c r="O80"/>
  <c r="J45" s="1"/>
  <c r="O62"/>
  <c r="Q62" s="1"/>
  <c r="U62" s="1"/>
  <c r="O45"/>
  <c r="G18"/>
  <c r="G11"/>
  <c r="G9"/>
  <c r="O98"/>
  <c r="J63" s="1"/>
  <c r="O97"/>
  <c r="J62" s="1"/>
  <c r="O96"/>
  <c r="J61" s="1"/>
  <c r="O95"/>
  <c r="O94"/>
  <c r="J59" s="1"/>
  <c r="O93"/>
  <c r="J58" s="1"/>
  <c r="O92"/>
  <c r="J57" s="1"/>
  <c r="O90"/>
  <c r="O85"/>
  <c r="O86"/>
  <c r="J51" s="1"/>
  <c r="J65"/>
  <c r="J60"/>
  <c r="J56"/>
  <c r="J55"/>
  <c r="J53"/>
  <c r="J46"/>
  <c r="J47"/>
  <c r="J52"/>
  <c r="J50"/>
  <c r="J49"/>
  <c r="J48"/>
  <c r="AO66"/>
  <c r="K27" s="1"/>
  <c r="AJ46"/>
  <c r="J7" s="1"/>
  <c r="AE62"/>
  <c r="I23" s="1"/>
  <c r="AE60"/>
  <c r="I21" s="1"/>
  <c r="T72"/>
  <c r="AJ62"/>
  <c r="J23" s="1"/>
  <c r="AE59"/>
  <c r="I20" s="1"/>
  <c r="AO65"/>
  <c r="K26" s="1"/>
  <c r="AO63"/>
  <c r="K24" s="1"/>
  <c r="AO61"/>
  <c r="K22" s="1"/>
  <c r="AO59"/>
  <c r="K20" s="1"/>
  <c r="AO57"/>
  <c r="K18" s="1"/>
  <c r="AO55"/>
  <c r="K16" s="1"/>
  <c r="AO53"/>
  <c r="K14" s="1"/>
  <c r="AO51"/>
  <c r="K12" s="1"/>
  <c r="AO49"/>
  <c r="K10" s="1"/>
  <c r="AO47"/>
  <c r="K8" s="1"/>
  <c r="AO45"/>
  <c r="K6" s="1"/>
  <c r="AO64"/>
  <c r="K25" s="1"/>
  <c r="AO60"/>
  <c r="K21" s="1"/>
  <c r="AO58"/>
  <c r="K19" s="1"/>
  <c r="AO56"/>
  <c r="K17" s="1"/>
  <c r="AO54"/>
  <c r="K15" s="1"/>
  <c r="AO52"/>
  <c r="K13" s="1"/>
  <c r="AO50"/>
  <c r="K11" s="1"/>
  <c r="AO48"/>
  <c r="K9" s="1"/>
  <c r="AJ59"/>
  <c r="J20" s="1"/>
  <c r="AJ64"/>
  <c r="J25" s="1"/>
  <c r="AJ61"/>
  <c r="J22" s="1"/>
  <c r="AJ58"/>
  <c r="J19" s="1"/>
  <c r="AJ56"/>
  <c r="J17" s="1"/>
  <c r="AJ54"/>
  <c r="J15" s="1"/>
  <c r="AJ52"/>
  <c r="J13" s="1"/>
  <c r="AJ50"/>
  <c r="J11" s="1"/>
  <c r="AJ47"/>
  <c r="J8" s="1"/>
  <c r="AJ45"/>
  <c r="J6" s="1"/>
  <c r="AO62"/>
  <c r="K23" s="1"/>
  <c r="AO46"/>
  <c r="K7" s="1"/>
  <c r="AJ43"/>
  <c r="J4" s="1"/>
  <c r="AJ65"/>
  <c r="J26" s="1"/>
  <c r="AJ60"/>
  <c r="J21" s="1"/>
  <c r="AJ57"/>
  <c r="J18" s="1"/>
  <c r="AJ55"/>
  <c r="J16" s="1"/>
  <c r="AJ53"/>
  <c r="J14" s="1"/>
  <c r="AJ51"/>
  <c r="J12" s="1"/>
  <c r="AJ48"/>
  <c r="J9" s="1"/>
  <c r="AE49"/>
  <c r="I10" s="1"/>
  <c r="AE44"/>
  <c r="I5" s="1"/>
  <c r="Y43"/>
  <c r="O99"/>
  <c r="V72" l="1"/>
  <c r="O72"/>
  <c r="O35"/>
  <c r="L50"/>
  <c r="P50" s="1"/>
  <c r="F11" s="1"/>
  <c r="L56"/>
  <c r="P56" s="1"/>
  <c r="F17" s="1"/>
  <c r="L58"/>
  <c r="P58" s="1"/>
  <c r="F19" s="1"/>
  <c r="L61"/>
  <c r="P61" s="1"/>
  <c r="F22" s="1"/>
  <c r="L57"/>
  <c r="P57" s="1"/>
  <c r="F18" s="1"/>
  <c r="L59"/>
  <c r="P59" s="1"/>
  <c r="F20" s="1"/>
  <c r="L63"/>
  <c r="P63" s="1"/>
  <c r="F24" s="1"/>
  <c r="L48"/>
  <c r="P48" s="1"/>
  <c r="F9" s="1"/>
  <c r="L49"/>
  <c r="P49" s="1"/>
  <c r="F10" s="1"/>
  <c r="L52"/>
  <c r="P52" s="1"/>
  <c r="F13" s="1"/>
  <c r="L47"/>
  <c r="P47" s="1"/>
  <c r="F8" s="1"/>
  <c r="L46"/>
  <c r="P46" s="1"/>
  <c r="F7" s="1"/>
  <c r="L53"/>
  <c r="P53" s="1"/>
  <c r="F14" s="1"/>
  <c r="L55"/>
  <c r="P55" s="1"/>
  <c r="F16" s="1"/>
  <c r="L60"/>
  <c r="P60" s="1"/>
  <c r="F21" s="1"/>
  <c r="L65"/>
  <c r="P65" s="1"/>
  <c r="F26" s="1"/>
  <c r="L51"/>
  <c r="P51" s="1"/>
  <c r="F12" s="1"/>
  <c r="L62"/>
  <c r="P62" s="1"/>
  <c r="F23" s="1"/>
  <c r="L54"/>
  <c r="P54" s="1"/>
  <c r="F15" s="1"/>
  <c r="L45"/>
  <c r="Q45"/>
  <c r="P45"/>
  <c r="F6" s="1"/>
  <c r="G23"/>
  <c r="J64"/>
  <c r="AI72"/>
  <c r="AO44"/>
  <c r="K5" s="1"/>
  <c r="AJ44"/>
  <c r="J5" s="1"/>
  <c r="AO67"/>
  <c r="K28" s="1"/>
  <c r="AJ67"/>
  <c r="J28" s="1"/>
  <c r="AJ66"/>
  <c r="J27" s="1"/>
  <c r="AE66"/>
  <c r="I27" s="1"/>
  <c r="AD72"/>
  <c r="AE43"/>
  <c r="I4" s="1"/>
  <c r="Y72"/>
  <c r="Z43"/>
  <c r="H4" s="1"/>
  <c r="H33" s="1"/>
  <c r="H35" s="1"/>
  <c r="J33" l="1"/>
  <c r="J35" s="1"/>
  <c r="L64"/>
  <c r="P64" s="1"/>
  <c r="F25" s="1"/>
  <c r="F33" s="1"/>
  <c r="F35" s="1"/>
  <c r="P72"/>
  <c r="U45"/>
  <c r="G6" s="1"/>
  <c r="G33" s="1"/>
  <c r="G35" s="1"/>
  <c r="Q72"/>
  <c r="J72"/>
  <c r="AO43"/>
  <c r="AK72"/>
  <c r="AJ72"/>
  <c r="Z72"/>
  <c r="AE72"/>
  <c r="I33" s="1"/>
  <c r="I35" s="1"/>
  <c r="E96"/>
  <c r="AO72" l="1"/>
  <c r="K4"/>
  <c r="K33" s="1"/>
  <c r="K35" s="1"/>
  <c r="L72"/>
  <c r="U72"/>
  <c r="D27"/>
  <c r="D28"/>
  <c r="D29"/>
  <c r="D30"/>
  <c r="D31"/>
  <c r="D32"/>
  <c r="G96"/>
  <c r="G100"/>
  <c r="E99"/>
  <c r="G99" s="1"/>
  <c r="E98"/>
  <c r="G98" s="1"/>
  <c r="E97"/>
  <c r="G97" s="1"/>
  <c r="E95"/>
  <c r="G95" s="1"/>
  <c r="E94"/>
  <c r="G94" s="1"/>
  <c r="E93"/>
  <c r="G93" s="1"/>
  <c r="E58" s="1"/>
  <c r="E92"/>
  <c r="G92" s="1"/>
  <c r="E91"/>
  <c r="G91" s="1"/>
  <c r="E90"/>
  <c r="G90" s="1"/>
  <c r="E89"/>
  <c r="G89" s="1"/>
  <c r="E88"/>
  <c r="G88" s="1"/>
  <c r="E87"/>
  <c r="G87" s="1"/>
  <c r="E52" s="1"/>
  <c r="E86"/>
  <c r="G86" s="1"/>
  <c r="E85"/>
  <c r="G85" s="1"/>
  <c r="E84"/>
  <c r="G84" s="1"/>
  <c r="E83"/>
  <c r="G83" s="1"/>
  <c r="E82"/>
  <c r="G82" s="1"/>
  <c r="E47" s="1"/>
  <c r="E81"/>
  <c r="G81" s="1"/>
  <c r="E46" s="1"/>
  <c r="E80"/>
  <c r="G80" s="1"/>
  <c r="E45" s="1"/>
  <c r="E79"/>
  <c r="G79" s="1"/>
  <c r="E44" s="1"/>
  <c r="E78"/>
  <c r="G78" s="1"/>
  <c r="G45" l="1"/>
  <c r="K45" s="1"/>
  <c r="E6" s="1"/>
  <c r="F45"/>
  <c r="D6" s="1"/>
  <c r="G47"/>
  <c r="K47" s="1"/>
  <c r="E8" s="1"/>
  <c r="F47"/>
  <c r="D8" s="1"/>
  <c r="G46"/>
  <c r="K46" s="1"/>
  <c r="E7" s="1"/>
  <c r="F46"/>
  <c r="G52"/>
  <c r="K52" s="1"/>
  <c r="E13" s="1"/>
  <c r="F52"/>
  <c r="D13" s="1"/>
  <c r="G58"/>
  <c r="K58" s="1"/>
  <c r="E19" s="1"/>
  <c r="F58"/>
  <c r="D19" s="1"/>
  <c r="G44"/>
  <c r="F44"/>
  <c r="D5" s="1"/>
  <c r="E65"/>
  <c r="E54"/>
  <c r="E61"/>
  <c r="E60"/>
  <c r="E43"/>
  <c r="G43" s="1"/>
  <c r="K43" s="1"/>
  <c r="E4" s="1"/>
  <c r="E62"/>
  <c r="E64"/>
  <c r="E63"/>
  <c r="E59"/>
  <c r="E57"/>
  <c r="E56"/>
  <c r="E55"/>
  <c r="E53"/>
  <c r="E50"/>
  <c r="E51"/>
  <c r="E49"/>
  <c r="E48"/>
  <c r="D7"/>
  <c r="B72"/>
  <c r="R2" s="1"/>
  <c r="R6" s="1"/>
  <c r="D72"/>
  <c r="C72"/>
  <c r="G48" l="1"/>
  <c r="K48" s="1"/>
  <c r="E9" s="1"/>
  <c r="F48"/>
  <c r="D9" s="1"/>
  <c r="G49"/>
  <c r="K49" s="1"/>
  <c r="E10" s="1"/>
  <c r="F49"/>
  <c r="D10" s="1"/>
  <c r="G51"/>
  <c r="K51" s="1"/>
  <c r="E12" s="1"/>
  <c r="F51"/>
  <c r="D12" s="1"/>
  <c r="G53"/>
  <c r="K53" s="1"/>
  <c r="E14" s="1"/>
  <c r="F53"/>
  <c r="D14" s="1"/>
  <c r="F55"/>
  <c r="D16" s="1"/>
  <c r="G55"/>
  <c r="K55" s="1"/>
  <c r="E16" s="1"/>
  <c r="G56"/>
  <c r="K56" s="1"/>
  <c r="E17" s="1"/>
  <c r="F56"/>
  <c r="D17" s="1"/>
  <c r="F57"/>
  <c r="D18" s="1"/>
  <c r="G57"/>
  <c r="K57" s="1"/>
  <c r="E18" s="1"/>
  <c r="F59"/>
  <c r="D20" s="1"/>
  <c r="G59"/>
  <c r="K59" s="1"/>
  <c r="E20" s="1"/>
  <c r="G60"/>
  <c r="K60" s="1"/>
  <c r="E21" s="1"/>
  <c r="F60"/>
  <c r="D21" s="1"/>
  <c r="F61"/>
  <c r="D22" s="1"/>
  <c r="G61"/>
  <c r="K61" s="1"/>
  <c r="E22" s="1"/>
  <c r="F54"/>
  <c r="D15" s="1"/>
  <c r="G54"/>
  <c r="K54" s="1"/>
  <c r="E15" s="1"/>
  <c r="G50"/>
  <c r="K50" s="1"/>
  <c r="E11" s="1"/>
  <c r="F50"/>
  <c r="D11" s="1"/>
  <c r="G63"/>
  <c r="K63" s="1"/>
  <c r="E24" s="1"/>
  <c r="F63"/>
  <c r="D24" s="1"/>
  <c r="G64"/>
  <c r="K64" s="1"/>
  <c r="E25" s="1"/>
  <c r="F64"/>
  <c r="D25" s="1"/>
  <c r="F62"/>
  <c r="D23" s="1"/>
  <c r="G62"/>
  <c r="K62" s="1"/>
  <c r="E23" s="1"/>
  <c r="G65"/>
  <c r="K65" s="1"/>
  <c r="E26" s="1"/>
  <c r="F65"/>
  <c r="D26" s="1"/>
  <c r="F43"/>
  <c r="D4" s="1"/>
  <c r="K44"/>
  <c r="E72"/>
  <c r="F72" l="1"/>
  <c r="D33"/>
  <c r="D35" s="1"/>
  <c r="G72"/>
  <c r="E5"/>
  <c r="E33" s="1"/>
  <c r="E35" s="1"/>
  <c r="K72"/>
  <c r="P33" l="1"/>
  <c r="P35" l="1"/>
  <c r="R8"/>
  <c r="R10" s="1"/>
  <c r="T10" s="1"/>
</calcChain>
</file>

<file path=xl/sharedStrings.xml><?xml version="1.0" encoding="utf-8"?>
<sst xmlns="http://schemas.openxmlformats.org/spreadsheetml/2006/main" count="885" uniqueCount="138">
  <si>
    <t>Kg</t>
  </si>
  <si>
    <t>giacenza</t>
  </si>
  <si>
    <t>raccolta</t>
  </si>
  <si>
    <t>sup.</t>
  </si>
  <si>
    <t>carico</t>
  </si>
  <si>
    <t>b.alim.</t>
  </si>
  <si>
    <t>BISCOTTI</t>
  </si>
  <si>
    <t>LATTE</t>
  </si>
  <si>
    <t>PASTA</t>
  </si>
  <si>
    <t>GRANA</t>
  </si>
  <si>
    <t>CICCOLATO UOVA</t>
  </si>
  <si>
    <t>RISO</t>
  </si>
  <si>
    <t>ZUCCHERO</t>
  </si>
  <si>
    <t>PELATI POMODORI</t>
  </si>
  <si>
    <t>PASSATA POMODORO</t>
  </si>
  <si>
    <t>LEGUMI</t>
  </si>
  <si>
    <t>LEGUMI scatole piccole</t>
  </si>
  <si>
    <t>TONNO</t>
  </si>
  <si>
    <t>TONNO piccole</t>
  </si>
  <si>
    <t>MARMELLATA</t>
  </si>
  <si>
    <t>OLIO di oliva</t>
  </si>
  <si>
    <t>OLIO di semi</t>
  </si>
  <si>
    <t>FARINA</t>
  </si>
  <si>
    <t>INFANZIA OMOGENIZZATI</t>
  </si>
  <si>
    <t>INFANZIA biscotti, latte polvere ecc.</t>
  </si>
  <si>
    <t>CARNE IN SCATOLA</t>
  </si>
  <si>
    <t>PANE DA SARMATO</t>
  </si>
  <si>
    <t>CAFFE</t>
  </si>
  <si>
    <t>DOLCIUMI VARI</t>
  </si>
  <si>
    <t>varie</t>
  </si>
  <si>
    <t>gennaio</t>
  </si>
  <si>
    <t>febbraio</t>
  </si>
  <si>
    <t>marzo</t>
  </si>
  <si>
    <t>aprile</t>
  </si>
  <si>
    <t>frutta fresca</t>
  </si>
  <si>
    <t>misto pesto</t>
  </si>
  <si>
    <t>verdura fresca</t>
  </si>
  <si>
    <t>b.+sup</t>
  </si>
  <si>
    <t>scarico</t>
  </si>
  <si>
    <t>maggio</t>
  </si>
  <si>
    <t>TEA SANTAL - BIBITE VARIE</t>
  </si>
  <si>
    <t>GRANA - FORMAGGI VARI</t>
  </si>
  <si>
    <t>PANE  - CRACKER  ecc.</t>
  </si>
  <si>
    <t>ACQUA</t>
  </si>
  <si>
    <t>TONNO MEDIO</t>
  </si>
  <si>
    <t>GIACENZE DA MAGAZZINO</t>
  </si>
  <si>
    <t>SCARICO</t>
  </si>
  <si>
    <t>borse</t>
  </si>
  <si>
    <t>Kg sup</t>
  </si>
  <si>
    <t>LATTE, YOGOURT E GELATI</t>
  </si>
  <si>
    <t>VERDURE CONGELATE</t>
  </si>
  <si>
    <t>bibite TEA SANTAL ecc</t>
  </si>
  <si>
    <t>PANE e AFFINI e pizzette</t>
  </si>
  <si>
    <t>giugno</t>
  </si>
  <si>
    <t>conf sup</t>
  </si>
  <si>
    <t>luglio</t>
  </si>
  <si>
    <t>agosto</t>
  </si>
  <si>
    <t>settembre</t>
  </si>
  <si>
    <t>ottobre</t>
  </si>
  <si>
    <t>novembre</t>
  </si>
  <si>
    <t>dicembre</t>
  </si>
  <si>
    <t>TOTALE MESE</t>
  </si>
  <si>
    <t>PRODOTTI</t>
  </si>
  <si>
    <t>BORSE</t>
  </si>
  <si>
    <t>AL 31 GENNAIO</t>
  </si>
  <si>
    <t>AL 28 FEBBRAIO</t>
  </si>
  <si>
    <t>Tot Kg alimentari consegnati</t>
  </si>
  <si>
    <t>Tot borse distribuite</t>
  </si>
  <si>
    <t>Peso medio borse</t>
  </si>
  <si>
    <t>Peso/borsa</t>
  </si>
  <si>
    <t>48 cee</t>
  </si>
  <si>
    <t>conf. Banco +AGEA</t>
  </si>
  <si>
    <t>AGEA</t>
  </si>
  <si>
    <t>AL 31 MARZO</t>
  </si>
  <si>
    <t>AL 30 APRILE</t>
  </si>
  <si>
    <t>AL 31 MAGGIO</t>
  </si>
  <si>
    <t>AL 30 GIUGNO</t>
  </si>
  <si>
    <t>AL 31 LUGLIO</t>
  </si>
  <si>
    <t>AL 31 AGOSTO</t>
  </si>
  <si>
    <t>AL 30 SETTEMBRE</t>
  </si>
  <si>
    <t>AL 31 OTTOBRE</t>
  </si>
  <si>
    <t>AL 31 NOVEMBRE</t>
  </si>
  <si>
    <t>AL 31 DICEMBRE</t>
  </si>
  <si>
    <t>663 cee</t>
  </si>
  <si>
    <t>60 cee</t>
  </si>
  <si>
    <t>756 cee</t>
  </si>
  <si>
    <t>72 cee</t>
  </si>
  <si>
    <t>8 cee</t>
  </si>
  <si>
    <t>197 cee</t>
  </si>
  <si>
    <t>SUCCHI DI FRUTTA</t>
  </si>
  <si>
    <t>120 cee</t>
  </si>
  <si>
    <t>346,5 cee</t>
  </si>
  <si>
    <t>391,5 cee</t>
  </si>
  <si>
    <t>87 cee</t>
  </si>
  <si>
    <t>Kg banco + AGEA</t>
  </si>
  <si>
    <t>b.+ sup + AGEA</t>
  </si>
  <si>
    <t>310 cee</t>
  </si>
  <si>
    <t>conf. Banco + AGEA</t>
  </si>
  <si>
    <t>INFANZIA biscotti, latte polvere ecc e succhi.</t>
  </si>
  <si>
    <t>LEGUMI e minestre</t>
  </si>
  <si>
    <t>giacenza 2014</t>
  </si>
  <si>
    <t>magazzino AGEA</t>
  </si>
  <si>
    <t>magazzino banco alim</t>
  </si>
  <si>
    <t>racc. superm</t>
  </si>
  <si>
    <t>Tot. Racc.</t>
  </si>
  <si>
    <t>tot distrib</t>
  </si>
  <si>
    <t>Diff. Racc/distr.</t>
  </si>
  <si>
    <t>diff. Kg</t>
  </si>
  <si>
    <t>630 cee</t>
  </si>
  <si>
    <t>170 cee</t>
  </si>
  <si>
    <t>95,58 cee</t>
  </si>
  <si>
    <t>25,6 cee</t>
  </si>
  <si>
    <t>127 cee</t>
  </si>
  <si>
    <t>32,64 cee</t>
  </si>
  <si>
    <t>344 cee</t>
  </si>
  <si>
    <t>70 cee</t>
  </si>
  <si>
    <t>34,8 cee</t>
  </si>
  <si>
    <t>147 cee</t>
  </si>
  <si>
    <t>24 cee</t>
  </si>
  <si>
    <t>30,48 cee</t>
  </si>
  <si>
    <t>268,8 cee</t>
  </si>
  <si>
    <t>76,7 cee</t>
  </si>
  <si>
    <t>184,8 cee</t>
  </si>
  <si>
    <t>85,6 cee</t>
  </si>
  <si>
    <t>110,4 cee</t>
  </si>
  <si>
    <t>156 cee</t>
  </si>
  <si>
    <t>235,2 cee</t>
  </si>
  <si>
    <t>50,5 cee</t>
  </si>
  <si>
    <t>48,38 cee</t>
  </si>
  <si>
    <t>62,4 cee</t>
  </si>
  <si>
    <t>58,8 cee</t>
  </si>
  <si>
    <t>58 cee</t>
  </si>
  <si>
    <t>94,4 cee</t>
  </si>
  <si>
    <t>22,80 cee</t>
  </si>
  <si>
    <t xml:space="preserve">VERDURE CONGELATE </t>
  </si>
  <si>
    <t xml:space="preserve">LEGUMI scatole piccole </t>
  </si>
  <si>
    <t>giac. 30 nov</t>
  </si>
  <si>
    <t>giac. 31 dic</t>
  </si>
</sst>
</file>

<file path=xl/styles.xml><?xml version="1.0" encoding="utf-8"?>
<styleSheet xmlns="http://schemas.openxmlformats.org/spreadsheetml/2006/main">
  <numFmts count="5">
    <numFmt numFmtId="43" formatCode="_-* #,##0.00_-;\-* #,##0.00_-;_-* &quot;-&quot;??_-;_-@_-"/>
    <numFmt numFmtId="164" formatCode="0.0"/>
    <numFmt numFmtId="165" formatCode="#,##0.0"/>
    <numFmt numFmtId="166" formatCode="0.000"/>
    <numFmt numFmtId="167" formatCode="_-* #,##0.0_-;\-* #,##0.0_-;_-* &quot;-&quot;??_-;_-@_-"/>
  </numFmts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ashed">
        <color auto="1"/>
      </bottom>
      <diagonal/>
    </border>
    <border>
      <left/>
      <right/>
      <top style="thin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dashed">
        <color auto="1"/>
      </top>
      <bottom style="thin">
        <color auto="1"/>
      </bottom>
      <diagonal/>
    </border>
    <border>
      <left/>
      <right style="thin">
        <color auto="1"/>
      </right>
      <top style="dashed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auto="1"/>
      </left>
      <right/>
      <top/>
      <bottom/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124">
    <xf numFmtId="0" fontId="0" fillId="0" borderId="0" xfId="0"/>
    <xf numFmtId="0" fontId="0" fillId="0" borderId="0" xfId="0"/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Font="1" applyBorder="1"/>
    <xf numFmtId="0" fontId="0" fillId="0" borderId="4" xfId="0" applyFont="1" applyBorder="1"/>
    <xf numFmtId="0" fontId="0" fillId="0" borderId="4" xfId="0" applyBorder="1"/>
    <xf numFmtId="0" fontId="2" fillId="0" borderId="0" xfId="0" applyFont="1" applyBorder="1"/>
    <xf numFmtId="0" fontId="2" fillId="0" borderId="0" xfId="0" applyFont="1"/>
    <xf numFmtId="0" fontId="0" fillId="0" borderId="5" xfId="0" applyBorder="1"/>
    <xf numFmtId="0" fontId="0" fillId="0" borderId="7" xfId="0" applyBorder="1"/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3" xfId="0" applyBorder="1"/>
    <xf numFmtId="0" fontId="0" fillId="0" borderId="6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6" xfId="0" applyFont="1" applyBorder="1"/>
    <xf numFmtId="0" fontId="5" fillId="0" borderId="3" xfId="0" applyFont="1" applyBorder="1"/>
    <xf numFmtId="164" fontId="6" fillId="0" borderId="6" xfId="0" applyNumberFormat="1" applyFont="1" applyBorder="1"/>
    <xf numFmtId="164" fontId="6" fillId="0" borderId="6" xfId="0" applyNumberFormat="1" applyFont="1" applyBorder="1" applyAlignment="1">
      <alignment horizontal="center"/>
    </xf>
    <xf numFmtId="164" fontId="6" fillId="0" borderId="11" xfId="0" applyNumberFormat="1" applyFont="1" applyBorder="1" applyAlignment="1">
      <alignment horizontal="center"/>
    </xf>
    <xf numFmtId="164" fontId="6" fillId="0" borderId="6" xfId="0" applyNumberFormat="1" applyFont="1" applyBorder="1" applyAlignment="1">
      <alignment horizontal="right"/>
    </xf>
    <xf numFmtId="164" fontId="6" fillId="0" borderId="11" xfId="0" applyNumberFormat="1" applyFont="1" applyBorder="1" applyAlignment="1">
      <alignment horizontal="right"/>
    </xf>
    <xf numFmtId="164" fontId="6" fillId="0" borderId="6" xfId="0" applyNumberFormat="1" applyFont="1" applyFill="1" applyBorder="1"/>
    <xf numFmtId="164" fontId="6" fillId="0" borderId="6" xfId="0" applyNumberFormat="1" applyFont="1" applyFill="1" applyBorder="1" applyAlignment="1">
      <alignment horizontal="right"/>
    </xf>
    <xf numFmtId="164" fontId="6" fillId="0" borderId="11" xfId="0" applyNumberFormat="1" applyFont="1" applyFill="1" applyBorder="1" applyAlignment="1">
      <alignment horizontal="right"/>
    </xf>
    <xf numFmtId="164" fontId="6" fillId="0" borderId="8" xfId="0" applyNumberFormat="1" applyFont="1" applyBorder="1"/>
    <xf numFmtId="164" fontId="6" fillId="0" borderId="22" xfId="0" applyNumberFormat="1" applyFont="1" applyBorder="1"/>
    <xf numFmtId="164" fontId="6" fillId="0" borderId="23" xfId="0" applyNumberFormat="1" applyFont="1" applyBorder="1"/>
    <xf numFmtId="0" fontId="8" fillId="0" borderId="24" xfId="0" applyFont="1" applyBorder="1"/>
    <xf numFmtId="0" fontId="0" fillId="0" borderId="26" xfId="0" applyBorder="1"/>
    <xf numFmtId="0" fontId="0" fillId="0" borderId="27" xfId="0" applyBorder="1"/>
    <xf numFmtId="0" fontId="0" fillId="0" borderId="29" xfId="0" applyBorder="1"/>
    <xf numFmtId="0" fontId="0" fillId="0" borderId="30" xfId="0" applyBorder="1"/>
    <xf numFmtId="0" fontId="0" fillId="0" borderId="32" xfId="0" applyBorder="1"/>
    <xf numFmtId="0" fontId="0" fillId="0" borderId="33" xfId="0" applyBorder="1"/>
    <xf numFmtId="0" fontId="0" fillId="2" borderId="10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5" fillId="0" borderId="25" xfId="0" applyFont="1" applyBorder="1"/>
    <xf numFmtId="0" fontId="5" fillId="0" borderId="28" xfId="0" applyFont="1" applyBorder="1"/>
    <xf numFmtId="0" fontId="9" fillId="0" borderId="31" xfId="0" applyFont="1" applyBorder="1"/>
    <xf numFmtId="0" fontId="0" fillId="2" borderId="11" xfId="0" applyFill="1" applyBorder="1" applyAlignment="1"/>
    <xf numFmtId="0" fontId="0" fillId="2" borderId="34" xfId="0" applyFill="1" applyBorder="1" applyAlignment="1"/>
    <xf numFmtId="0" fontId="0" fillId="2" borderId="35" xfId="0" applyFill="1" applyBorder="1" applyAlignment="1"/>
    <xf numFmtId="0" fontId="1" fillId="2" borderId="10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4" borderId="16" xfId="0" applyFill="1" applyBorder="1" applyAlignment="1">
      <alignment horizontal="center"/>
    </xf>
    <xf numFmtId="164" fontId="6" fillId="4" borderId="14" xfId="0" applyNumberFormat="1" applyFont="1" applyFill="1" applyBorder="1"/>
    <xf numFmtId="164" fontId="7" fillId="4" borderId="14" xfId="0" applyNumberFormat="1" applyFont="1" applyFill="1" applyBorder="1"/>
    <xf numFmtId="0" fontId="3" fillId="0" borderId="8" xfId="0" applyFont="1" applyBorder="1" applyAlignment="1">
      <alignment horizontal="center"/>
    </xf>
    <xf numFmtId="0" fontId="0" fillId="0" borderId="8" xfId="0" applyFill="1" applyBorder="1" applyAlignment="1">
      <alignment horizontal="center"/>
    </xf>
    <xf numFmtId="164" fontId="6" fillId="4" borderId="37" xfId="0" applyNumberFormat="1" applyFont="1" applyFill="1" applyBorder="1"/>
    <xf numFmtId="164" fontId="6" fillId="0" borderId="10" xfId="0" applyNumberFormat="1" applyFont="1" applyBorder="1" applyAlignment="1">
      <alignment horizontal="right"/>
    </xf>
    <xf numFmtId="0" fontId="4" fillId="0" borderId="38" xfId="0" applyFont="1" applyBorder="1"/>
    <xf numFmtId="2" fontId="4" fillId="0" borderId="39" xfId="0" applyNumberFormat="1" applyFont="1" applyBorder="1"/>
    <xf numFmtId="0" fontId="4" fillId="0" borderId="39" xfId="0" applyFont="1" applyBorder="1"/>
    <xf numFmtId="164" fontId="2" fillId="0" borderId="39" xfId="0" applyNumberFormat="1" applyFont="1" applyBorder="1"/>
    <xf numFmtId="0" fontId="3" fillId="0" borderId="18" xfId="0" applyFont="1" applyBorder="1" applyAlignment="1">
      <alignment horizontal="center"/>
    </xf>
    <xf numFmtId="0" fontId="1" fillId="4" borderId="40" xfId="0" applyFont="1" applyFill="1" applyBorder="1" applyAlignment="1">
      <alignment horizontal="center"/>
    </xf>
    <xf numFmtId="164" fontId="3" fillId="4" borderId="36" xfId="0" applyNumberFormat="1" applyFont="1" applyFill="1" applyBorder="1"/>
    <xf numFmtId="0" fontId="1" fillId="4" borderId="16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0" fillId="0" borderId="6" xfId="0" applyFont="1" applyFill="1" applyBorder="1" applyAlignment="1">
      <alignment horizontal="center"/>
    </xf>
    <xf numFmtId="17" fontId="3" fillId="0" borderId="8" xfId="0" applyNumberFormat="1" applyFont="1" applyBorder="1" applyAlignment="1">
      <alignment horizontal="center"/>
    </xf>
    <xf numFmtId="1" fontId="0" fillId="0" borderId="0" xfId="0" applyNumberFormat="1"/>
    <xf numFmtId="165" fontId="3" fillId="0" borderId="41" xfId="0" applyNumberFormat="1" applyFont="1" applyFill="1" applyBorder="1"/>
    <xf numFmtId="0" fontId="0" fillId="0" borderId="0" xfId="0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0" fillId="0" borderId="9" xfId="0" applyBorder="1" applyAlignment="1">
      <alignment horizontal="center" wrapText="1"/>
    </xf>
    <xf numFmtId="0" fontId="0" fillId="0" borderId="0" xfId="0" applyBorder="1" applyAlignment="1">
      <alignment horizontal="left" wrapText="1"/>
    </xf>
    <xf numFmtId="2" fontId="0" fillId="0" borderId="6" xfId="0" applyNumberFormat="1" applyFont="1" applyBorder="1" applyAlignment="1">
      <alignment horizontal="center"/>
    </xf>
    <xf numFmtId="164" fontId="0" fillId="0" borderId="6" xfId="0" applyNumberFormat="1" applyFont="1" applyBorder="1"/>
    <xf numFmtId="1" fontId="0" fillId="0" borderId="6" xfId="0" applyNumberFormat="1" applyFont="1" applyBorder="1"/>
    <xf numFmtId="164" fontId="0" fillId="0" borderId="6" xfId="0" applyNumberFormat="1" applyFont="1" applyBorder="1" applyAlignment="1">
      <alignment horizontal="center"/>
    </xf>
    <xf numFmtId="2" fontId="0" fillId="0" borderId="6" xfId="0" applyNumberFormat="1" applyFont="1" applyFill="1" applyBorder="1" applyAlignment="1">
      <alignment horizontal="center"/>
    </xf>
    <xf numFmtId="0" fontId="0" fillId="0" borderId="6" xfId="0" applyBorder="1"/>
    <xf numFmtId="164" fontId="0" fillId="0" borderId="6" xfId="0" applyNumberFormat="1" applyFont="1" applyFill="1" applyBorder="1"/>
    <xf numFmtId="2" fontId="0" fillId="0" borderId="0" xfId="0" applyNumberFormat="1"/>
    <xf numFmtId="166" fontId="0" fillId="0" borderId="0" xfId="0" applyNumberFormat="1"/>
    <xf numFmtId="0" fontId="0" fillId="5" borderId="42" xfId="0" applyFill="1" applyBorder="1"/>
    <xf numFmtId="16" fontId="0" fillId="5" borderId="22" xfId="0" applyNumberFormat="1" applyFill="1" applyBorder="1"/>
    <xf numFmtId="0" fontId="0" fillId="5" borderId="22" xfId="0" applyFill="1" applyBorder="1"/>
    <xf numFmtId="0" fontId="0" fillId="5" borderId="43" xfId="0" applyFill="1" applyBorder="1"/>
    <xf numFmtId="0" fontId="0" fillId="5" borderId="44" xfId="0" applyFont="1" applyFill="1" applyBorder="1" applyAlignment="1">
      <alignment horizontal="left" vertical="center"/>
    </xf>
    <xf numFmtId="2" fontId="0" fillId="5" borderId="23" xfId="0" applyNumberFormat="1" applyFill="1" applyBorder="1"/>
    <xf numFmtId="0" fontId="0" fillId="5" borderId="23" xfId="0" applyFill="1" applyBorder="1"/>
    <xf numFmtId="0" fontId="0" fillId="5" borderId="45" xfId="0" applyFill="1" applyBorder="1"/>
    <xf numFmtId="0" fontId="0" fillId="5" borderId="44" xfId="0" applyFont="1" applyFill="1" applyBorder="1" applyAlignment="1">
      <alignment horizontal="left"/>
    </xf>
    <xf numFmtId="0" fontId="0" fillId="5" borderId="46" xfId="0" applyFont="1" applyFill="1" applyBorder="1" applyAlignment="1">
      <alignment horizontal="left"/>
    </xf>
    <xf numFmtId="2" fontId="0" fillId="5" borderId="24" xfId="0" applyNumberFormat="1" applyFill="1" applyBorder="1"/>
    <xf numFmtId="2" fontId="0" fillId="5" borderId="47" xfId="0" applyNumberFormat="1" applyFill="1" applyBorder="1"/>
    <xf numFmtId="167" fontId="0" fillId="0" borderId="6" xfId="1" applyNumberFormat="1" applyFont="1" applyBorder="1"/>
    <xf numFmtId="2" fontId="6" fillId="0" borderId="11" xfId="0" applyNumberFormat="1" applyFont="1" applyBorder="1" applyAlignment="1">
      <alignment horizontal="right"/>
    </xf>
    <xf numFmtId="2" fontId="2" fillId="0" borderId="39" xfId="0" applyNumberFormat="1" applyFont="1" applyBorder="1"/>
    <xf numFmtId="165" fontId="3" fillId="0" borderId="0" xfId="0" applyNumberFormat="1" applyFont="1" applyFill="1" applyBorder="1"/>
    <xf numFmtId="0" fontId="0" fillId="5" borderId="44" xfId="0" applyFill="1" applyBorder="1" applyAlignment="1">
      <alignment horizontal="left" vertical="center"/>
    </xf>
    <xf numFmtId="0" fontId="0" fillId="5" borderId="44" xfId="0" applyFill="1" applyBorder="1" applyAlignment="1">
      <alignment horizontal="left"/>
    </xf>
    <xf numFmtId="4" fontId="0" fillId="5" borderId="23" xfId="0" applyNumberFormat="1" applyFill="1" applyBorder="1"/>
    <xf numFmtId="4" fontId="0" fillId="5" borderId="45" xfId="0" applyNumberFormat="1" applyFill="1" applyBorder="1"/>
    <xf numFmtId="4" fontId="0" fillId="5" borderId="24" xfId="0" applyNumberFormat="1" applyFill="1" applyBorder="1"/>
    <xf numFmtId="4" fontId="0" fillId="5" borderId="47" xfId="0" applyNumberFormat="1" applyFill="1" applyBorder="1"/>
    <xf numFmtId="0" fontId="1" fillId="2" borderId="8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164" fontId="8" fillId="0" borderId="23" xfId="0" applyNumberFormat="1" applyFont="1" applyBorder="1"/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Q105"/>
  <sheetViews>
    <sheetView tabSelected="1" zoomScale="62" zoomScaleNormal="62" workbookViewId="0">
      <selection activeCell="Q21" sqref="Q21"/>
    </sheetView>
  </sheetViews>
  <sheetFormatPr defaultRowHeight="15"/>
  <cols>
    <col min="1" max="1" width="33.7109375" customWidth="1"/>
    <col min="3" max="3" width="11.5703125" style="1" bestFit="1" customWidth="1"/>
    <col min="7" max="7" width="8.5703125" customWidth="1"/>
    <col min="8" max="8" width="8.42578125" customWidth="1"/>
    <col min="9" max="9" width="8.28515625" customWidth="1"/>
    <col min="11" max="11" width="12" customWidth="1"/>
    <col min="12" max="12" width="9.42578125" customWidth="1"/>
    <col min="13" max="13" width="9.140625" customWidth="1"/>
    <col min="14" max="14" width="10.5703125" customWidth="1"/>
    <col min="15" max="15" width="10.42578125" customWidth="1"/>
    <col min="16" max="16" width="13.5703125" bestFit="1" customWidth="1"/>
    <col min="17" max="17" width="21.140625" customWidth="1"/>
    <col min="18" max="18" width="10.140625" customWidth="1"/>
    <col min="19" max="19" width="11.5703125" bestFit="1" customWidth="1"/>
    <col min="20" max="26" width="10.140625" customWidth="1"/>
    <col min="27" max="27" width="11.5703125" bestFit="1" customWidth="1"/>
    <col min="28" max="28" width="10.140625" customWidth="1"/>
    <col min="30" max="30" width="9.28515625" bestFit="1" customWidth="1"/>
    <col min="31" max="31" width="11.5703125" bestFit="1" customWidth="1"/>
    <col min="32" max="34" width="9.28515625" bestFit="1" customWidth="1"/>
    <col min="35" max="35" width="11.7109375" bestFit="1" customWidth="1"/>
    <col min="36" max="36" width="11.28515625" bestFit="1" customWidth="1"/>
    <col min="37" max="37" width="9.5703125" bestFit="1" customWidth="1"/>
    <col min="38" max="40" width="9.28515625" bestFit="1" customWidth="1"/>
    <col min="41" max="41" width="9.5703125" bestFit="1" customWidth="1"/>
    <col min="42" max="42" width="9.28515625" bestFit="1" customWidth="1"/>
    <col min="43" max="43" width="11.7109375" bestFit="1" customWidth="1"/>
    <col min="44" max="50" width="9.28515625" bestFit="1" customWidth="1"/>
    <col min="51" max="51" width="11.7109375" bestFit="1" customWidth="1"/>
    <col min="52" max="54" width="9.28515625" bestFit="1" customWidth="1"/>
    <col min="56" max="56" width="13.5703125" bestFit="1" customWidth="1"/>
    <col min="59" max="59" width="11.5703125" bestFit="1" customWidth="1"/>
    <col min="61" max="61" width="13.5703125" bestFit="1" customWidth="1"/>
    <col min="67" max="67" width="11.42578125" customWidth="1"/>
    <col min="75" max="75" width="11.42578125" customWidth="1"/>
    <col min="83" max="83" width="11.140625" customWidth="1"/>
    <col min="91" max="91" width="11.28515625" customWidth="1"/>
  </cols>
  <sheetData>
    <row r="1" spans="1:20" s="1" customFormat="1" ht="17.25" customHeight="1">
      <c r="A1" s="40"/>
      <c r="B1" s="41"/>
      <c r="C1" s="42"/>
      <c r="D1" s="55" t="s">
        <v>38</v>
      </c>
      <c r="E1" s="56" t="s">
        <v>38</v>
      </c>
      <c r="F1" s="56" t="s">
        <v>38</v>
      </c>
      <c r="G1" s="56" t="s">
        <v>38</v>
      </c>
      <c r="H1" s="56" t="s">
        <v>38</v>
      </c>
      <c r="I1" s="56" t="s">
        <v>38</v>
      </c>
      <c r="J1" s="56" t="s">
        <v>38</v>
      </c>
      <c r="K1" s="56" t="s">
        <v>38</v>
      </c>
      <c r="L1" s="56" t="s">
        <v>38</v>
      </c>
      <c r="M1" s="56" t="s">
        <v>38</v>
      </c>
      <c r="N1" s="56" t="s">
        <v>38</v>
      </c>
      <c r="O1" s="57" t="s">
        <v>38</v>
      </c>
      <c r="Q1" s="98"/>
      <c r="R1" s="99">
        <v>42369</v>
      </c>
      <c r="S1" s="100"/>
      <c r="T1" s="101"/>
    </row>
    <row r="2" spans="1:20" s="1" customFormat="1">
      <c r="A2" s="43"/>
      <c r="B2" s="44" t="s">
        <v>62</v>
      </c>
      <c r="C2" s="45"/>
      <c r="D2" s="58" t="s">
        <v>30</v>
      </c>
      <c r="E2" s="59" t="s">
        <v>31</v>
      </c>
      <c r="F2" s="59" t="s">
        <v>32</v>
      </c>
      <c r="G2" s="59" t="s">
        <v>33</v>
      </c>
      <c r="H2" s="59" t="s">
        <v>39</v>
      </c>
      <c r="I2" s="59" t="s">
        <v>53</v>
      </c>
      <c r="J2" s="59" t="s">
        <v>55</v>
      </c>
      <c r="K2" s="59" t="s">
        <v>56</v>
      </c>
      <c r="L2" s="59" t="s">
        <v>57</v>
      </c>
      <c r="M2" s="59" t="s">
        <v>58</v>
      </c>
      <c r="N2" s="59" t="s">
        <v>59</v>
      </c>
      <c r="O2" s="60" t="s">
        <v>60</v>
      </c>
      <c r="Q2" s="102" t="s">
        <v>100</v>
      </c>
      <c r="R2" s="116">
        <f>B72</f>
        <v>2281.9599999999991</v>
      </c>
      <c r="S2" s="116"/>
      <c r="T2" s="117"/>
    </row>
    <row r="3" spans="1:20">
      <c r="A3" s="46"/>
      <c r="B3" s="47"/>
      <c r="C3" s="48"/>
      <c r="D3" s="61" t="s">
        <v>0</v>
      </c>
      <c r="E3" s="62" t="s">
        <v>0</v>
      </c>
      <c r="F3" s="62" t="s">
        <v>0</v>
      </c>
      <c r="G3" s="62" t="s">
        <v>0</v>
      </c>
      <c r="H3" s="62" t="s">
        <v>0</v>
      </c>
      <c r="I3" s="62" t="s">
        <v>0</v>
      </c>
      <c r="J3" s="62" t="s">
        <v>0</v>
      </c>
      <c r="K3" s="62" t="s">
        <v>0</v>
      </c>
      <c r="L3" s="62" t="s">
        <v>0</v>
      </c>
      <c r="M3" s="62" t="s">
        <v>0</v>
      </c>
      <c r="N3" s="62" t="s">
        <v>0</v>
      </c>
      <c r="O3" s="63" t="s">
        <v>0</v>
      </c>
      <c r="Q3" s="102" t="s">
        <v>101</v>
      </c>
      <c r="R3" s="116">
        <v>11997.029999999999</v>
      </c>
      <c r="S3" s="116"/>
      <c r="T3" s="117"/>
    </row>
    <row r="4" spans="1:20">
      <c r="A4" s="49" t="s">
        <v>6</v>
      </c>
      <c r="B4" s="34"/>
      <c r="C4" s="35"/>
      <c r="D4" s="31">
        <f t="shared" ref="D4:D32" si="0">F43</f>
        <v>130.19999999999999</v>
      </c>
      <c r="E4" s="31">
        <f t="shared" ref="E4:E32" si="1">K43</f>
        <v>107.80000000000001</v>
      </c>
      <c r="F4" s="31">
        <f t="shared" ref="F4:F32" si="2">P43</f>
        <v>124.59999999999998</v>
      </c>
      <c r="G4" s="31">
        <f>U43</f>
        <v>107.99</v>
      </c>
      <c r="H4" s="31">
        <f>Z43</f>
        <v>38.800000000000011</v>
      </c>
      <c r="I4" s="31">
        <f>AE43</f>
        <v>67.199999999999989</v>
      </c>
      <c r="J4" s="31">
        <f>AJ43</f>
        <v>55.779999999999973</v>
      </c>
      <c r="K4" s="31">
        <f>AO43</f>
        <v>124.74000000000001</v>
      </c>
      <c r="L4" s="31">
        <f>AT43</f>
        <v>284.84000000000003</v>
      </c>
      <c r="M4" s="31">
        <f>AY43</f>
        <v>110.40000000000003</v>
      </c>
      <c r="N4" s="31">
        <f>BD43</f>
        <v>94.600000000000023</v>
      </c>
      <c r="O4" s="31">
        <f>BI43</f>
        <v>69.520000000000095</v>
      </c>
      <c r="Q4" s="106" t="s">
        <v>102</v>
      </c>
      <c r="R4" s="116">
        <v>10542.630000000001</v>
      </c>
      <c r="S4" s="116"/>
      <c r="T4" s="117"/>
    </row>
    <row r="5" spans="1:20" ht="15.75">
      <c r="A5" s="50" t="s">
        <v>49</v>
      </c>
      <c r="B5" s="36"/>
      <c r="C5" s="37"/>
      <c r="D5" s="32">
        <f t="shared" si="0"/>
        <v>276</v>
      </c>
      <c r="E5" s="32">
        <f t="shared" si="1"/>
        <v>470</v>
      </c>
      <c r="F5" s="32">
        <f t="shared" si="2"/>
        <v>36</v>
      </c>
      <c r="G5" s="32">
        <f>U44</f>
        <v>509.40000000000009</v>
      </c>
      <c r="H5" s="32">
        <f>Z44</f>
        <v>694.40000000000009</v>
      </c>
      <c r="I5" s="32">
        <f>AE44</f>
        <v>782</v>
      </c>
      <c r="J5" s="32">
        <f>AJ44</f>
        <v>728.64</v>
      </c>
      <c r="K5" s="32">
        <f>AO44</f>
        <v>153</v>
      </c>
      <c r="L5" s="32">
        <f>AT44</f>
        <v>378.54999999999995</v>
      </c>
      <c r="M5" s="32">
        <f>AY44</f>
        <v>579.28</v>
      </c>
      <c r="N5" s="32">
        <f>BD44</f>
        <v>610.40000000000009</v>
      </c>
      <c r="O5" s="32">
        <f>BI44</f>
        <v>590</v>
      </c>
      <c r="P5" s="8"/>
      <c r="Q5" s="106" t="s">
        <v>103</v>
      </c>
      <c r="R5" s="116">
        <v>7681.9349999999995</v>
      </c>
      <c r="S5" s="116"/>
      <c r="T5" s="117"/>
    </row>
    <row r="6" spans="1:20" ht="15.75">
      <c r="A6" s="50" t="s">
        <v>8</v>
      </c>
      <c r="B6" s="36"/>
      <c r="C6" s="37"/>
      <c r="D6" s="32">
        <f t="shared" si="0"/>
        <v>456</v>
      </c>
      <c r="E6" s="32">
        <f t="shared" si="1"/>
        <v>23.5</v>
      </c>
      <c r="F6" s="32">
        <f t="shared" si="2"/>
        <v>413.18000000000006</v>
      </c>
      <c r="G6" s="32">
        <f t="shared" ref="G6:G32" si="3">U45</f>
        <v>710.11999999999989</v>
      </c>
      <c r="H6" s="32">
        <f t="shared" ref="H6:H32" si="4">Z45</f>
        <v>338.495</v>
      </c>
      <c r="I6" s="32">
        <f t="shared" ref="I6:I33" si="5">AE45</f>
        <v>391</v>
      </c>
      <c r="J6" s="32">
        <f t="shared" ref="J6:J32" si="6">AJ45</f>
        <v>274.94</v>
      </c>
      <c r="K6" s="32">
        <f t="shared" ref="K6:K32" si="7">AO45</f>
        <v>203</v>
      </c>
      <c r="L6" s="32">
        <f t="shared" ref="L6:L33" si="8">AT45</f>
        <v>302.5</v>
      </c>
      <c r="M6" s="32">
        <f t="shared" ref="M6:M33" si="9">AY45</f>
        <v>377</v>
      </c>
      <c r="N6" s="32">
        <f t="shared" ref="N6:N33" si="10">BD45</f>
        <v>499.79999999999995</v>
      </c>
      <c r="O6" s="32">
        <f t="shared" ref="O6:O33" si="11">BI45</f>
        <v>471.01</v>
      </c>
      <c r="P6" s="7"/>
      <c r="Q6" s="106" t="s">
        <v>104</v>
      </c>
      <c r="R6" s="116">
        <f>SUM(R2:R5)</f>
        <v>32503.555</v>
      </c>
      <c r="S6" s="116"/>
      <c r="T6" s="117"/>
    </row>
    <row r="7" spans="1:20" ht="15.75">
      <c r="A7" s="50" t="s">
        <v>9</v>
      </c>
      <c r="B7" s="36"/>
      <c r="C7" s="37"/>
      <c r="D7" s="32">
        <f t="shared" si="0"/>
        <v>71.539999999999992</v>
      </c>
      <c r="E7" s="32">
        <f t="shared" si="1"/>
        <v>0</v>
      </c>
      <c r="F7" s="32">
        <f t="shared" si="2"/>
        <v>11.61</v>
      </c>
      <c r="G7" s="32">
        <f t="shared" si="3"/>
        <v>11.61</v>
      </c>
      <c r="H7" s="32">
        <f t="shared" si="4"/>
        <v>1.6200000000000045</v>
      </c>
      <c r="I7" s="32">
        <f t="shared" si="5"/>
        <v>95.58</v>
      </c>
      <c r="J7" s="32">
        <f t="shared" si="6"/>
        <v>40.39</v>
      </c>
      <c r="K7" s="32">
        <f t="shared" si="7"/>
        <v>34.320000000000007</v>
      </c>
      <c r="L7" s="32">
        <f t="shared" si="8"/>
        <v>67.58</v>
      </c>
      <c r="M7" s="32">
        <f t="shared" si="9"/>
        <v>0</v>
      </c>
      <c r="N7" s="32">
        <f t="shared" si="10"/>
        <v>0</v>
      </c>
      <c r="O7" s="32">
        <f t="shared" si="11"/>
        <v>0</v>
      </c>
      <c r="P7" s="7"/>
      <c r="Q7" s="106"/>
      <c r="R7" s="116"/>
      <c r="S7" s="116"/>
      <c r="T7" s="117"/>
    </row>
    <row r="8" spans="1:20" ht="15.75">
      <c r="A8" s="50" t="s">
        <v>10</v>
      </c>
      <c r="B8" s="36"/>
      <c r="C8" s="37"/>
      <c r="D8" s="32">
        <f t="shared" si="0"/>
        <v>0</v>
      </c>
      <c r="E8" s="32">
        <f t="shared" si="1"/>
        <v>0</v>
      </c>
      <c r="F8" s="32">
        <f t="shared" si="2"/>
        <v>0</v>
      </c>
      <c r="G8" s="32">
        <f t="shared" si="3"/>
        <v>0</v>
      </c>
      <c r="H8" s="32">
        <f t="shared" si="4"/>
        <v>0</v>
      </c>
      <c r="I8" s="32">
        <f t="shared" si="5"/>
        <v>0</v>
      </c>
      <c r="J8" s="32">
        <f t="shared" si="6"/>
        <v>0</v>
      </c>
      <c r="K8" s="32">
        <f t="shared" si="7"/>
        <v>0</v>
      </c>
      <c r="L8" s="32">
        <f t="shared" si="8"/>
        <v>0</v>
      </c>
      <c r="M8" s="32">
        <f t="shared" si="9"/>
        <v>0</v>
      </c>
      <c r="N8" s="32">
        <f t="shared" si="10"/>
        <v>0</v>
      </c>
      <c r="O8" s="32">
        <f t="shared" si="11"/>
        <v>0</v>
      </c>
      <c r="P8" s="7"/>
      <c r="Q8" s="106" t="s">
        <v>105</v>
      </c>
      <c r="R8" s="116">
        <f>P33</f>
        <v>29488.185000000001</v>
      </c>
      <c r="S8" s="116"/>
      <c r="T8" s="117"/>
    </row>
    <row r="9" spans="1:20" ht="15.75">
      <c r="A9" s="50" t="s">
        <v>11</v>
      </c>
      <c r="B9" s="36"/>
      <c r="C9" s="37"/>
      <c r="D9" s="32">
        <f t="shared" si="0"/>
        <v>129</v>
      </c>
      <c r="E9" s="32">
        <f t="shared" si="1"/>
        <v>31</v>
      </c>
      <c r="F9" s="32">
        <f t="shared" si="2"/>
        <v>130.05000000000001</v>
      </c>
      <c r="G9" s="32">
        <f t="shared" si="3"/>
        <v>92.44</v>
      </c>
      <c r="H9" s="32">
        <f t="shared" si="4"/>
        <v>52</v>
      </c>
      <c r="I9" s="32">
        <f t="shared" si="5"/>
        <v>122</v>
      </c>
      <c r="J9" s="32">
        <f t="shared" si="6"/>
        <v>172</v>
      </c>
      <c r="K9" s="32">
        <f t="shared" si="7"/>
        <v>123</v>
      </c>
      <c r="L9" s="32">
        <f t="shared" si="8"/>
        <v>16</v>
      </c>
      <c r="M9" s="32">
        <f t="shared" si="9"/>
        <v>224</v>
      </c>
      <c r="N9" s="32">
        <f t="shared" si="10"/>
        <v>292</v>
      </c>
      <c r="O9" s="32">
        <f t="shared" si="11"/>
        <v>293.12</v>
      </c>
      <c r="P9" s="7"/>
      <c r="Q9" s="106"/>
      <c r="R9" s="116"/>
      <c r="S9" s="116" t="s">
        <v>137</v>
      </c>
      <c r="T9" s="117" t="s">
        <v>107</v>
      </c>
    </row>
    <row r="10" spans="1:20" ht="15.75">
      <c r="A10" s="50" t="s">
        <v>12</v>
      </c>
      <c r="B10" s="36"/>
      <c r="C10" s="37"/>
      <c r="D10" s="32">
        <f t="shared" si="0"/>
        <v>83</v>
      </c>
      <c r="E10" s="32">
        <f t="shared" si="1"/>
        <v>3</v>
      </c>
      <c r="F10" s="32">
        <f t="shared" si="2"/>
        <v>52</v>
      </c>
      <c r="G10" s="32">
        <f t="shared" si="3"/>
        <v>64</v>
      </c>
      <c r="H10" s="32">
        <f t="shared" si="4"/>
        <v>101</v>
      </c>
      <c r="I10" s="32">
        <f t="shared" si="5"/>
        <v>15</v>
      </c>
      <c r="J10" s="32">
        <f t="shared" si="6"/>
        <v>113</v>
      </c>
      <c r="K10" s="32">
        <f t="shared" si="7"/>
        <v>2</v>
      </c>
      <c r="L10" s="32">
        <f t="shared" si="8"/>
        <v>129</v>
      </c>
      <c r="M10" s="32">
        <f t="shared" si="9"/>
        <v>142</v>
      </c>
      <c r="N10" s="32">
        <f t="shared" si="10"/>
        <v>208</v>
      </c>
      <c r="O10" s="32">
        <f t="shared" si="11"/>
        <v>73</v>
      </c>
      <c r="P10" s="8"/>
      <c r="Q10" s="107" t="s">
        <v>106</v>
      </c>
      <c r="R10" s="118">
        <f>R6-R8</f>
        <v>3015.369999999999</v>
      </c>
      <c r="S10" s="118">
        <f>CQ102</f>
        <v>3420</v>
      </c>
      <c r="T10" s="119">
        <f>S10-R10</f>
        <v>404.63000000000102</v>
      </c>
    </row>
    <row r="11" spans="1:20" ht="15.75">
      <c r="A11" s="50" t="s">
        <v>13</v>
      </c>
      <c r="B11" s="36"/>
      <c r="C11" s="37"/>
      <c r="D11" s="32">
        <f t="shared" si="0"/>
        <v>139.59999999999997</v>
      </c>
      <c r="E11" s="32">
        <f t="shared" si="1"/>
        <v>145.19999999999999</v>
      </c>
      <c r="F11" s="32">
        <f t="shared" si="2"/>
        <v>114.00000000000001</v>
      </c>
      <c r="G11" s="32">
        <f t="shared" si="3"/>
        <v>54.000000000000014</v>
      </c>
      <c r="H11" s="32">
        <f t="shared" si="4"/>
        <v>129.59999999999997</v>
      </c>
      <c r="I11" s="32">
        <f t="shared" si="5"/>
        <v>132.00000000000003</v>
      </c>
      <c r="J11" s="32">
        <f t="shared" si="6"/>
        <v>152.40000000000003</v>
      </c>
      <c r="K11" s="32">
        <f t="shared" si="7"/>
        <v>110.80000000000001</v>
      </c>
      <c r="L11" s="32">
        <f t="shared" si="8"/>
        <v>177.59999999999997</v>
      </c>
      <c r="M11" s="32">
        <f t="shared" si="9"/>
        <v>291.2</v>
      </c>
      <c r="N11" s="32">
        <f t="shared" si="10"/>
        <v>190.40000000000003</v>
      </c>
      <c r="O11" s="32">
        <f t="shared" si="11"/>
        <v>237.19999999999993</v>
      </c>
      <c r="P11" s="7"/>
    </row>
    <row r="12" spans="1:20" ht="15.75">
      <c r="A12" s="50" t="s">
        <v>14</v>
      </c>
      <c r="B12" s="36"/>
      <c r="C12" s="37"/>
      <c r="D12" s="32">
        <f t="shared" si="0"/>
        <v>6.3000000000000043</v>
      </c>
      <c r="E12" s="32">
        <f t="shared" si="1"/>
        <v>24.499999999999993</v>
      </c>
      <c r="F12" s="32">
        <f t="shared" si="2"/>
        <v>96</v>
      </c>
      <c r="G12" s="32">
        <f t="shared" si="3"/>
        <v>119.9</v>
      </c>
      <c r="H12" s="32">
        <f t="shared" si="4"/>
        <v>4.9000000000000057</v>
      </c>
      <c r="I12" s="32">
        <f t="shared" si="5"/>
        <v>51.8</v>
      </c>
      <c r="J12" s="32">
        <f t="shared" si="6"/>
        <v>-0.70000000000000284</v>
      </c>
      <c r="K12" s="32">
        <f t="shared" si="7"/>
        <v>0</v>
      </c>
      <c r="L12" s="32">
        <f t="shared" si="8"/>
        <v>39.200000000000003</v>
      </c>
      <c r="M12" s="32">
        <f t="shared" si="9"/>
        <v>11.899999999999991</v>
      </c>
      <c r="N12" s="32">
        <f t="shared" si="10"/>
        <v>66.5</v>
      </c>
      <c r="O12" s="32">
        <f t="shared" si="11"/>
        <v>43.4</v>
      </c>
      <c r="P12" s="7"/>
    </row>
    <row r="13" spans="1:20" ht="15.75">
      <c r="A13" s="50" t="s">
        <v>15</v>
      </c>
      <c r="B13" s="36"/>
      <c r="C13" s="37"/>
      <c r="D13" s="32">
        <f t="shared" si="0"/>
        <v>178.8</v>
      </c>
      <c r="E13" s="32">
        <f t="shared" si="1"/>
        <v>66</v>
      </c>
      <c r="F13" s="32">
        <f t="shared" si="2"/>
        <v>74.400000000000006</v>
      </c>
      <c r="G13" s="32">
        <f t="shared" si="3"/>
        <v>188.8</v>
      </c>
      <c r="H13" s="32">
        <f t="shared" si="4"/>
        <v>135.20000000000002</v>
      </c>
      <c r="I13" s="32">
        <f t="shared" si="5"/>
        <v>117.99999999999997</v>
      </c>
      <c r="J13" s="32">
        <f t="shared" si="6"/>
        <v>340.4</v>
      </c>
      <c r="K13" s="32">
        <f t="shared" si="7"/>
        <v>128.80000000000001</v>
      </c>
      <c r="L13" s="32">
        <f t="shared" si="8"/>
        <v>100.79999999999998</v>
      </c>
      <c r="M13" s="32">
        <f t="shared" si="9"/>
        <v>226.40000000000003</v>
      </c>
      <c r="N13" s="32">
        <f t="shared" si="10"/>
        <v>350.2600000000001</v>
      </c>
      <c r="O13" s="32">
        <f t="shared" si="11"/>
        <v>422.4</v>
      </c>
      <c r="P13" s="7"/>
    </row>
    <row r="14" spans="1:20" ht="15.75">
      <c r="A14" s="50" t="s">
        <v>50</v>
      </c>
      <c r="B14" s="36"/>
      <c r="C14" s="37"/>
      <c r="D14" s="32">
        <f t="shared" si="0"/>
        <v>0</v>
      </c>
      <c r="E14" s="32">
        <f t="shared" si="1"/>
        <v>0</v>
      </c>
      <c r="F14" s="32">
        <f t="shared" si="2"/>
        <v>0</v>
      </c>
      <c r="G14" s="32">
        <f t="shared" si="3"/>
        <v>0</v>
      </c>
      <c r="H14" s="32">
        <f t="shared" si="4"/>
        <v>0</v>
      </c>
      <c r="I14" s="32">
        <f t="shared" si="5"/>
        <v>0</v>
      </c>
      <c r="J14" s="32">
        <f t="shared" si="6"/>
        <v>0</v>
      </c>
      <c r="K14" s="32">
        <f t="shared" si="7"/>
        <v>-11.600000000000009</v>
      </c>
      <c r="L14" s="32">
        <f t="shared" si="8"/>
        <v>209.60000000000002</v>
      </c>
      <c r="M14" s="32">
        <f t="shared" si="9"/>
        <v>80</v>
      </c>
      <c r="N14" s="32">
        <f t="shared" si="10"/>
        <v>0</v>
      </c>
      <c r="O14" s="32">
        <f t="shared" si="11"/>
        <v>0</v>
      </c>
      <c r="P14" s="7"/>
    </row>
    <row r="15" spans="1:20" ht="15.75">
      <c r="A15" s="50" t="s">
        <v>17</v>
      </c>
      <c r="B15" s="36"/>
      <c r="C15" s="37"/>
      <c r="D15" s="32">
        <f t="shared" si="0"/>
        <v>14.719999999999999</v>
      </c>
      <c r="E15" s="32">
        <f t="shared" si="1"/>
        <v>37.76</v>
      </c>
      <c r="F15" s="32">
        <f t="shared" si="2"/>
        <v>21.120000000000005</v>
      </c>
      <c r="G15" s="32">
        <f t="shared" si="3"/>
        <v>5.759999999999998</v>
      </c>
      <c r="H15" s="32">
        <f t="shared" si="4"/>
        <v>15.200000000000001</v>
      </c>
      <c r="I15" s="32">
        <f t="shared" si="5"/>
        <v>3.1999999999999993</v>
      </c>
      <c r="J15" s="32">
        <f t="shared" si="6"/>
        <v>4.6400000000000006</v>
      </c>
      <c r="K15" s="32">
        <f t="shared" si="7"/>
        <v>11.68</v>
      </c>
      <c r="L15" s="32">
        <f t="shared" si="8"/>
        <v>3.52</v>
      </c>
      <c r="M15" s="32">
        <f t="shared" si="9"/>
        <v>3.0400000000000009</v>
      </c>
      <c r="N15" s="32">
        <f t="shared" si="10"/>
        <v>7.1999999999999993</v>
      </c>
      <c r="O15" s="32">
        <f t="shared" si="11"/>
        <v>8.8799999999999955</v>
      </c>
      <c r="P15" s="7"/>
    </row>
    <row r="16" spans="1:20" ht="15.75">
      <c r="A16" s="50" t="s">
        <v>18</v>
      </c>
      <c r="B16" s="36"/>
      <c r="C16" s="37"/>
      <c r="D16" s="32">
        <f t="shared" si="0"/>
        <v>15.839999999999996</v>
      </c>
      <c r="E16" s="32">
        <f t="shared" si="1"/>
        <v>12.96</v>
      </c>
      <c r="F16" s="32">
        <f t="shared" si="2"/>
        <v>9.6000000000000014</v>
      </c>
      <c r="G16" s="32">
        <f t="shared" si="3"/>
        <v>18.600000000000001</v>
      </c>
      <c r="H16" s="32">
        <f t="shared" si="4"/>
        <v>7.5599999999999987</v>
      </c>
      <c r="I16" s="32">
        <f t="shared" si="5"/>
        <v>25.799999999999997</v>
      </c>
      <c r="J16" s="32">
        <f t="shared" si="6"/>
        <v>23.64</v>
      </c>
      <c r="K16" s="32">
        <f t="shared" si="7"/>
        <v>11.399999999999999</v>
      </c>
      <c r="L16" s="32">
        <f t="shared" si="8"/>
        <v>3.120000000000001</v>
      </c>
      <c r="M16" s="32">
        <f t="shared" si="9"/>
        <v>28.56</v>
      </c>
      <c r="N16" s="32">
        <f t="shared" si="10"/>
        <v>17.639999999999997</v>
      </c>
      <c r="O16" s="32">
        <f t="shared" si="11"/>
        <v>24.479999999999997</v>
      </c>
      <c r="P16" s="7"/>
      <c r="Q16" s="1"/>
    </row>
    <row r="17" spans="1:40" ht="15.75">
      <c r="A17" s="50" t="s">
        <v>19</v>
      </c>
      <c r="B17" s="36"/>
      <c r="C17" s="37"/>
      <c r="D17" s="32">
        <f t="shared" si="0"/>
        <v>14.8</v>
      </c>
      <c r="E17" s="32">
        <f t="shared" si="1"/>
        <v>10.399999999999991</v>
      </c>
      <c r="F17" s="32">
        <f t="shared" si="2"/>
        <v>26.400000000000006</v>
      </c>
      <c r="G17" s="32">
        <f t="shared" si="3"/>
        <v>19.199999999999996</v>
      </c>
      <c r="H17" s="32">
        <f t="shared" si="4"/>
        <v>34.400000000000006</v>
      </c>
      <c r="I17" s="32">
        <f t="shared" si="5"/>
        <v>8</v>
      </c>
      <c r="J17" s="32">
        <f t="shared" si="6"/>
        <v>22.800000000000004</v>
      </c>
      <c r="K17" s="32">
        <f t="shared" si="7"/>
        <v>40.799999999999997</v>
      </c>
      <c r="L17" s="32">
        <f t="shared" si="8"/>
        <v>4.3999999999999986</v>
      </c>
      <c r="M17" s="32">
        <f t="shared" si="9"/>
        <v>29.600000000000005</v>
      </c>
      <c r="N17" s="32">
        <f t="shared" si="10"/>
        <v>0.79999999999999716</v>
      </c>
      <c r="O17" s="32">
        <f t="shared" si="11"/>
        <v>14.000000000000004</v>
      </c>
      <c r="P17" s="7"/>
    </row>
    <row r="18" spans="1:40" ht="15.75">
      <c r="A18" s="50" t="s">
        <v>20</v>
      </c>
      <c r="B18" s="36"/>
      <c r="C18" s="37"/>
      <c r="D18" s="32">
        <f t="shared" si="0"/>
        <v>0</v>
      </c>
      <c r="E18" s="32">
        <f t="shared" si="1"/>
        <v>0</v>
      </c>
      <c r="F18" s="32">
        <f t="shared" si="2"/>
        <v>0</v>
      </c>
      <c r="G18" s="32">
        <f t="shared" si="3"/>
        <v>0</v>
      </c>
      <c r="H18" s="32">
        <f t="shared" si="4"/>
        <v>0</v>
      </c>
      <c r="I18" s="32">
        <f t="shared" si="5"/>
        <v>60</v>
      </c>
      <c r="J18" s="32">
        <f t="shared" si="6"/>
        <v>0</v>
      </c>
      <c r="K18" s="32">
        <f t="shared" si="7"/>
        <v>0</v>
      </c>
      <c r="L18" s="32">
        <f t="shared" si="8"/>
        <v>0</v>
      </c>
      <c r="M18" s="32">
        <f t="shared" si="9"/>
        <v>0</v>
      </c>
      <c r="N18" s="32">
        <f t="shared" si="10"/>
        <v>0</v>
      </c>
      <c r="O18" s="32">
        <f t="shared" si="11"/>
        <v>0</v>
      </c>
      <c r="P18" s="7"/>
    </row>
    <row r="19" spans="1:40" ht="15.75">
      <c r="A19" s="50" t="s">
        <v>21</v>
      </c>
      <c r="B19" s="36"/>
      <c r="C19" s="37"/>
      <c r="D19" s="32">
        <f t="shared" si="0"/>
        <v>10</v>
      </c>
      <c r="E19" s="32">
        <f t="shared" si="1"/>
        <v>81</v>
      </c>
      <c r="F19" s="32">
        <f t="shared" si="2"/>
        <v>137</v>
      </c>
      <c r="G19" s="32">
        <f t="shared" si="3"/>
        <v>133</v>
      </c>
      <c r="H19" s="32">
        <f t="shared" si="4"/>
        <v>85</v>
      </c>
      <c r="I19" s="32">
        <f t="shared" si="5"/>
        <v>100</v>
      </c>
      <c r="J19" s="32">
        <f t="shared" si="6"/>
        <v>165</v>
      </c>
      <c r="K19" s="32">
        <f t="shared" si="7"/>
        <v>108</v>
      </c>
      <c r="L19" s="32">
        <f t="shared" si="8"/>
        <v>84</v>
      </c>
      <c r="M19" s="32">
        <f t="shared" si="9"/>
        <v>49</v>
      </c>
      <c r="N19" s="32">
        <f t="shared" si="10"/>
        <v>27</v>
      </c>
      <c r="O19" s="32">
        <f t="shared" si="11"/>
        <v>271</v>
      </c>
      <c r="P19" s="7"/>
      <c r="Q19" s="96"/>
    </row>
    <row r="20" spans="1:40" ht="15.75">
      <c r="A20" s="50" t="s">
        <v>22</v>
      </c>
      <c r="B20" s="36"/>
      <c r="C20" s="37"/>
      <c r="D20" s="32">
        <f t="shared" si="0"/>
        <v>41</v>
      </c>
      <c r="E20" s="32">
        <f t="shared" si="1"/>
        <v>74</v>
      </c>
      <c r="F20" s="32">
        <f t="shared" si="2"/>
        <v>46</v>
      </c>
      <c r="G20" s="32">
        <f t="shared" si="3"/>
        <v>112</v>
      </c>
      <c r="H20" s="32">
        <f t="shared" si="4"/>
        <v>141</v>
      </c>
      <c r="I20" s="32">
        <f t="shared" si="5"/>
        <v>179</v>
      </c>
      <c r="J20" s="32">
        <f t="shared" si="6"/>
        <v>66</v>
      </c>
      <c r="K20" s="32">
        <f t="shared" si="7"/>
        <v>60</v>
      </c>
      <c r="L20" s="32">
        <f t="shared" si="8"/>
        <v>31</v>
      </c>
      <c r="M20" s="32">
        <f t="shared" si="9"/>
        <v>108</v>
      </c>
      <c r="N20" s="32">
        <f t="shared" si="10"/>
        <v>16</v>
      </c>
      <c r="O20" s="32">
        <f t="shared" si="11"/>
        <v>115</v>
      </c>
      <c r="P20" s="7"/>
    </row>
    <row r="21" spans="1:40" ht="15.75">
      <c r="A21" s="50" t="s">
        <v>23</v>
      </c>
      <c r="B21" s="36"/>
      <c r="C21" s="37"/>
      <c r="D21" s="32">
        <f t="shared" si="0"/>
        <v>79.75</v>
      </c>
      <c r="E21" s="32">
        <f t="shared" si="1"/>
        <v>87.625</v>
      </c>
      <c r="F21" s="32">
        <f t="shared" si="2"/>
        <v>26.875</v>
      </c>
      <c r="G21" s="32">
        <f t="shared" si="3"/>
        <v>-1.1299999999999955</v>
      </c>
      <c r="H21" s="32">
        <f t="shared" si="4"/>
        <v>10</v>
      </c>
      <c r="I21" s="32">
        <f t="shared" si="5"/>
        <v>50.625</v>
      </c>
      <c r="J21" s="32">
        <f t="shared" si="6"/>
        <v>15.375</v>
      </c>
      <c r="K21" s="32">
        <f t="shared" si="7"/>
        <v>9.625</v>
      </c>
      <c r="L21" s="32">
        <f t="shared" si="8"/>
        <v>51.645000000000003</v>
      </c>
      <c r="M21" s="32">
        <f t="shared" si="9"/>
        <v>9.25</v>
      </c>
      <c r="N21" s="32">
        <f t="shared" si="10"/>
        <v>-1.625</v>
      </c>
      <c r="O21" s="32">
        <f t="shared" si="11"/>
        <v>56.25</v>
      </c>
      <c r="P21" s="7"/>
    </row>
    <row r="22" spans="1:40" ht="15.75">
      <c r="A22" s="50" t="s">
        <v>24</v>
      </c>
      <c r="B22" s="36"/>
      <c r="C22" s="37"/>
      <c r="D22" s="32">
        <f t="shared" si="0"/>
        <v>3.4000000000000021</v>
      </c>
      <c r="E22" s="32">
        <f t="shared" si="1"/>
        <v>9.7999999999999989</v>
      </c>
      <c r="F22" s="32">
        <f t="shared" si="2"/>
        <v>4.8000000000000007</v>
      </c>
      <c r="G22" s="32">
        <f t="shared" si="3"/>
        <v>2.6</v>
      </c>
      <c r="H22" s="32">
        <f t="shared" si="4"/>
        <v>2.4</v>
      </c>
      <c r="I22" s="32">
        <f t="shared" si="5"/>
        <v>2.4000000000000004</v>
      </c>
      <c r="J22" s="32">
        <f t="shared" si="6"/>
        <v>26.6</v>
      </c>
      <c r="K22" s="32">
        <f t="shared" si="7"/>
        <v>23.999999999999996</v>
      </c>
      <c r="L22" s="32">
        <f t="shared" si="8"/>
        <v>1.4</v>
      </c>
      <c r="M22" s="32">
        <f t="shared" si="9"/>
        <v>1.2000000000000002</v>
      </c>
      <c r="N22" s="32">
        <f t="shared" si="10"/>
        <v>-0.39999999999999947</v>
      </c>
      <c r="O22" s="32">
        <f t="shared" si="11"/>
        <v>48.2</v>
      </c>
      <c r="P22" s="7"/>
    </row>
    <row r="23" spans="1:40" ht="15.75">
      <c r="A23" s="50" t="s">
        <v>25</v>
      </c>
      <c r="B23" s="36"/>
      <c r="C23" s="37"/>
      <c r="D23" s="32">
        <f t="shared" si="0"/>
        <v>4.2639593908631923E-2</v>
      </c>
      <c r="E23" s="32">
        <f t="shared" si="1"/>
        <v>12.878172588832484</v>
      </c>
      <c r="F23" s="32">
        <f t="shared" si="2"/>
        <v>11.131979695431472</v>
      </c>
      <c r="G23" s="32">
        <f t="shared" si="3"/>
        <v>14.755837563451777</v>
      </c>
      <c r="H23" s="32">
        <f t="shared" si="4"/>
        <v>91.871370558375617</v>
      </c>
      <c r="I23" s="32">
        <f t="shared" si="5"/>
        <v>92.48</v>
      </c>
      <c r="J23" s="32">
        <f t="shared" si="6"/>
        <v>41</v>
      </c>
      <c r="K23" s="32">
        <f t="shared" si="7"/>
        <v>0.8</v>
      </c>
      <c r="L23" s="32">
        <f t="shared" si="8"/>
        <v>1.4</v>
      </c>
      <c r="M23" s="32">
        <f t="shared" si="9"/>
        <v>7.1</v>
      </c>
      <c r="N23" s="32">
        <f t="shared" si="10"/>
        <v>8.0399999999999991</v>
      </c>
      <c r="O23" s="32">
        <f t="shared" si="11"/>
        <v>3.12</v>
      </c>
      <c r="P23" s="7"/>
    </row>
    <row r="24" spans="1:40" ht="15.75">
      <c r="A24" s="50" t="s">
        <v>52</v>
      </c>
      <c r="B24" s="36"/>
      <c r="C24" s="37"/>
      <c r="D24" s="32">
        <f t="shared" si="0"/>
        <v>183.8</v>
      </c>
      <c r="E24" s="32">
        <f t="shared" si="1"/>
        <v>42</v>
      </c>
      <c r="F24" s="32">
        <f t="shared" si="2"/>
        <v>34.29</v>
      </c>
      <c r="G24" s="32">
        <f t="shared" si="3"/>
        <v>0</v>
      </c>
      <c r="H24" s="32">
        <f t="shared" si="4"/>
        <v>12.71</v>
      </c>
      <c r="I24" s="32">
        <f t="shared" si="5"/>
        <v>160.54</v>
      </c>
      <c r="J24" s="32">
        <f t="shared" si="6"/>
        <v>0</v>
      </c>
      <c r="K24" s="32">
        <f t="shared" si="7"/>
        <v>46.4</v>
      </c>
      <c r="L24" s="32">
        <f t="shared" si="8"/>
        <v>45.41</v>
      </c>
      <c r="M24" s="32">
        <f t="shared" si="9"/>
        <v>16.8</v>
      </c>
      <c r="N24" s="32">
        <f t="shared" si="10"/>
        <v>119.28</v>
      </c>
      <c r="O24" s="32">
        <f t="shared" si="11"/>
        <v>29.44</v>
      </c>
      <c r="P24" s="7"/>
    </row>
    <row r="25" spans="1:40" ht="15.75">
      <c r="A25" s="50" t="s">
        <v>27</v>
      </c>
      <c r="B25" s="36"/>
      <c r="C25" s="37"/>
      <c r="D25" s="32">
        <f t="shared" si="0"/>
        <v>-1.75</v>
      </c>
      <c r="E25" s="32">
        <f t="shared" si="1"/>
        <v>-0.75</v>
      </c>
      <c r="F25" s="32">
        <f t="shared" si="2"/>
        <v>0</v>
      </c>
      <c r="G25" s="32">
        <f t="shared" si="3"/>
        <v>5.75</v>
      </c>
      <c r="H25" s="32">
        <f t="shared" si="4"/>
        <v>-5</v>
      </c>
      <c r="I25" s="32">
        <f t="shared" si="5"/>
        <v>0.5</v>
      </c>
      <c r="J25" s="32">
        <f t="shared" si="6"/>
        <v>0.25</v>
      </c>
      <c r="K25" s="32">
        <f t="shared" si="7"/>
        <v>-0.75</v>
      </c>
      <c r="L25" s="32">
        <f t="shared" si="8"/>
        <v>0</v>
      </c>
      <c r="M25" s="32">
        <f t="shared" si="9"/>
        <v>0.25</v>
      </c>
      <c r="N25" s="32">
        <f t="shared" si="10"/>
        <v>2.5</v>
      </c>
      <c r="O25" s="32">
        <f t="shared" si="11"/>
        <v>9</v>
      </c>
      <c r="P25" s="7"/>
      <c r="AN25" s="14"/>
    </row>
    <row r="26" spans="1:40" ht="15.75">
      <c r="A26" s="50" t="s">
        <v>28</v>
      </c>
      <c r="B26" s="36"/>
      <c r="C26" s="37"/>
      <c r="D26" s="32">
        <f t="shared" si="0"/>
        <v>94.77</v>
      </c>
      <c r="E26" s="32">
        <f t="shared" si="1"/>
        <v>45.45</v>
      </c>
      <c r="F26" s="32">
        <f t="shared" si="2"/>
        <v>14.459999999999997</v>
      </c>
      <c r="G26" s="32">
        <f t="shared" si="3"/>
        <v>41.55</v>
      </c>
      <c r="H26" s="32">
        <f t="shared" si="4"/>
        <v>15.119999999999997</v>
      </c>
      <c r="I26" s="32">
        <f t="shared" si="5"/>
        <v>70.180000000000007</v>
      </c>
      <c r="J26" s="32">
        <f t="shared" si="6"/>
        <v>25.409999999999997</v>
      </c>
      <c r="K26" s="32">
        <f t="shared" si="7"/>
        <v>5.46</v>
      </c>
      <c r="L26" s="32">
        <f t="shared" si="8"/>
        <v>14.64</v>
      </c>
      <c r="M26" s="32">
        <f t="shared" si="9"/>
        <v>62.089999999999996</v>
      </c>
      <c r="N26" s="32">
        <f t="shared" si="10"/>
        <v>31.5</v>
      </c>
      <c r="O26" s="32">
        <f t="shared" si="11"/>
        <v>157.85</v>
      </c>
      <c r="P26" s="7"/>
    </row>
    <row r="27" spans="1:40" ht="15.75">
      <c r="A27" s="50" t="s">
        <v>29</v>
      </c>
      <c r="B27" s="36"/>
      <c r="C27" s="37"/>
      <c r="D27" s="32">
        <f t="shared" si="0"/>
        <v>0</v>
      </c>
      <c r="E27" s="32">
        <f t="shared" si="1"/>
        <v>0</v>
      </c>
      <c r="F27" s="32">
        <f t="shared" si="2"/>
        <v>0</v>
      </c>
      <c r="G27" s="32">
        <f t="shared" si="3"/>
        <v>0</v>
      </c>
      <c r="H27" s="32">
        <f t="shared" si="4"/>
        <v>0</v>
      </c>
      <c r="I27" s="32">
        <f t="shared" si="5"/>
        <v>0</v>
      </c>
      <c r="J27" s="32">
        <f t="shared" si="6"/>
        <v>30</v>
      </c>
      <c r="K27" s="32">
        <f t="shared" si="7"/>
        <v>0</v>
      </c>
      <c r="L27" s="32">
        <f t="shared" si="8"/>
        <v>0</v>
      </c>
      <c r="M27" s="32">
        <f t="shared" si="9"/>
        <v>0</v>
      </c>
      <c r="N27" s="32">
        <f t="shared" si="10"/>
        <v>25.029</v>
      </c>
      <c r="O27" s="32">
        <f t="shared" si="11"/>
        <v>0</v>
      </c>
      <c r="P27" s="7"/>
    </row>
    <row r="28" spans="1:40" ht="15.75">
      <c r="A28" s="50" t="s">
        <v>43</v>
      </c>
      <c r="B28" s="36"/>
      <c r="C28" s="37"/>
      <c r="D28" s="32">
        <f t="shared" si="0"/>
        <v>0</v>
      </c>
      <c r="E28" s="32">
        <f t="shared" si="1"/>
        <v>0</v>
      </c>
      <c r="F28" s="32">
        <f t="shared" si="2"/>
        <v>0</v>
      </c>
      <c r="G28" s="32">
        <f t="shared" si="3"/>
        <v>31.5</v>
      </c>
      <c r="H28" s="32">
        <f t="shared" si="4"/>
        <v>0</v>
      </c>
      <c r="I28" s="32">
        <f t="shared" si="5"/>
        <v>72</v>
      </c>
      <c r="J28" s="32">
        <f t="shared" si="6"/>
        <v>0</v>
      </c>
      <c r="K28" s="32">
        <f t="shared" si="7"/>
        <v>0</v>
      </c>
      <c r="L28" s="32">
        <f t="shared" si="8"/>
        <v>0</v>
      </c>
      <c r="M28" s="32">
        <f t="shared" si="9"/>
        <v>0</v>
      </c>
      <c r="N28" s="32">
        <f t="shared" si="10"/>
        <v>0</v>
      </c>
      <c r="O28" s="32">
        <f t="shared" si="11"/>
        <v>0</v>
      </c>
      <c r="P28" s="7"/>
    </row>
    <row r="29" spans="1:40" ht="15.75">
      <c r="A29" s="50" t="s">
        <v>51</v>
      </c>
      <c r="B29" s="36"/>
      <c r="C29" s="37"/>
      <c r="D29" s="32">
        <f t="shared" si="0"/>
        <v>0</v>
      </c>
      <c r="E29" s="32">
        <f t="shared" si="1"/>
        <v>0</v>
      </c>
      <c r="F29" s="32">
        <f t="shared" si="2"/>
        <v>0</v>
      </c>
      <c r="G29" s="32">
        <f t="shared" si="3"/>
        <v>203.28</v>
      </c>
      <c r="H29" s="32">
        <f t="shared" si="4"/>
        <v>198.81599999999997</v>
      </c>
      <c r="I29" s="32">
        <f t="shared" si="5"/>
        <v>100.65</v>
      </c>
      <c r="J29" s="32">
        <f t="shared" si="6"/>
        <v>136.79999999999998</v>
      </c>
      <c r="K29" s="32">
        <f t="shared" si="7"/>
        <v>83.200000000000017</v>
      </c>
      <c r="L29" s="32">
        <f t="shared" si="8"/>
        <v>180.8</v>
      </c>
      <c r="M29" s="32">
        <f t="shared" si="9"/>
        <v>139.19999999999999</v>
      </c>
      <c r="N29" s="32">
        <f t="shared" si="10"/>
        <v>226.8</v>
      </c>
      <c r="O29" s="32">
        <f t="shared" si="11"/>
        <v>48</v>
      </c>
      <c r="P29" s="7"/>
    </row>
    <row r="30" spans="1:40" s="1" customFormat="1" ht="15.75">
      <c r="A30" s="50" t="s">
        <v>35</v>
      </c>
      <c r="B30" s="36"/>
      <c r="C30" s="37"/>
      <c r="D30" s="32">
        <f t="shared" si="0"/>
        <v>0</v>
      </c>
      <c r="E30" s="32">
        <f t="shared" si="1"/>
        <v>12.96</v>
      </c>
      <c r="F30" s="32">
        <f t="shared" si="2"/>
        <v>0</v>
      </c>
      <c r="G30" s="32">
        <f t="shared" si="3"/>
        <v>0</v>
      </c>
      <c r="H30" s="32">
        <f t="shared" si="4"/>
        <v>48</v>
      </c>
      <c r="I30" s="32">
        <f t="shared" si="5"/>
        <v>49.47</v>
      </c>
      <c r="J30" s="32">
        <f t="shared" si="6"/>
        <v>13.68</v>
      </c>
      <c r="K30" s="32">
        <f t="shared" si="7"/>
        <v>25.9</v>
      </c>
      <c r="L30" s="32">
        <f t="shared" si="8"/>
        <v>-120</v>
      </c>
      <c r="M30" s="32">
        <f t="shared" si="9"/>
        <v>190.12</v>
      </c>
      <c r="N30" s="32">
        <f t="shared" si="10"/>
        <v>57.800000000000004</v>
      </c>
      <c r="O30" s="32">
        <f t="shared" si="11"/>
        <v>87.12</v>
      </c>
      <c r="P30" s="7"/>
    </row>
    <row r="31" spans="1:40" s="1" customFormat="1" ht="15.75">
      <c r="A31" s="50" t="s">
        <v>36</v>
      </c>
      <c r="B31" s="36"/>
      <c r="C31" s="37"/>
      <c r="D31" s="32">
        <f t="shared" si="0"/>
        <v>0</v>
      </c>
      <c r="E31" s="32">
        <f t="shared" si="1"/>
        <v>13.44</v>
      </c>
      <c r="F31" s="32">
        <f t="shared" si="2"/>
        <v>0</v>
      </c>
      <c r="G31" s="32">
        <f t="shared" si="3"/>
        <v>0</v>
      </c>
      <c r="H31" s="32">
        <f t="shared" si="4"/>
        <v>421.92</v>
      </c>
      <c r="I31" s="32">
        <f t="shared" si="5"/>
        <v>0</v>
      </c>
      <c r="J31" s="32">
        <f t="shared" si="6"/>
        <v>132.63</v>
      </c>
      <c r="K31" s="32">
        <f t="shared" si="7"/>
        <v>0</v>
      </c>
      <c r="L31" s="32">
        <f t="shared" si="8"/>
        <v>0</v>
      </c>
      <c r="M31" s="32">
        <f t="shared" si="9"/>
        <v>0</v>
      </c>
      <c r="N31" s="32">
        <f t="shared" si="10"/>
        <v>56.82</v>
      </c>
      <c r="O31" s="32">
        <f t="shared" si="11"/>
        <v>0</v>
      </c>
      <c r="P31" s="7"/>
    </row>
    <row r="32" spans="1:40" ht="15.75">
      <c r="A32" s="50" t="s">
        <v>34</v>
      </c>
      <c r="B32" s="36"/>
      <c r="C32" s="37"/>
      <c r="D32" s="32">
        <f t="shared" si="0"/>
        <v>474.24</v>
      </c>
      <c r="E32" s="32">
        <f t="shared" si="1"/>
        <v>247.34</v>
      </c>
      <c r="F32" s="32">
        <f t="shared" si="2"/>
        <v>54.76</v>
      </c>
      <c r="G32" s="32">
        <f t="shared" si="3"/>
        <v>178.17</v>
      </c>
      <c r="H32" s="32">
        <f t="shared" si="4"/>
        <v>0</v>
      </c>
      <c r="I32" s="32">
        <f t="shared" si="5"/>
        <v>0</v>
      </c>
      <c r="J32" s="32">
        <f t="shared" si="6"/>
        <v>227.06</v>
      </c>
      <c r="K32" s="32">
        <f t="shared" si="7"/>
        <v>177.77</v>
      </c>
      <c r="L32" s="32">
        <f t="shared" si="8"/>
        <v>332.75</v>
      </c>
      <c r="M32" s="32">
        <f t="shared" si="9"/>
        <v>377.21</v>
      </c>
      <c r="N32" s="32">
        <f t="shared" si="10"/>
        <v>427.46</v>
      </c>
      <c r="O32" s="32">
        <f t="shared" si="11"/>
        <v>54.03</v>
      </c>
      <c r="P32" s="7"/>
    </row>
    <row r="33" spans="1:66" s="1" customFormat="1" ht="15.75">
      <c r="A33" s="51" t="s">
        <v>61</v>
      </c>
      <c r="B33" s="38"/>
      <c r="C33" s="39"/>
      <c r="D33" s="33">
        <f t="shared" ref="D33:K33" si="12">SUM(D4:D32)</f>
        <v>2401.0526395939087</v>
      </c>
      <c r="E33" s="33">
        <f t="shared" si="12"/>
        <v>1557.8631725888324</v>
      </c>
      <c r="F33" s="33">
        <f t="shared" si="12"/>
        <v>1438.2769796954315</v>
      </c>
      <c r="G33" s="33">
        <f t="shared" si="12"/>
        <v>2623.2958375634516</v>
      </c>
      <c r="H33" s="33">
        <f t="shared" si="12"/>
        <v>2575.012370558376</v>
      </c>
      <c r="I33" s="33">
        <f t="shared" si="5"/>
        <v>2749.4249999999997</v>
      </c>
      <c r="J33" s="33">
        <f t="shared" si="12"/>
        <v>2807.7350000000001</v>
      </c>
      <c r="K33" s="33">
        <f t="shared" si="12"/>
        <v>1472.3450000000003</v>
      </c>
      <c r="L33" s="33">
        <f t="shared" si="8"/>
        <v>2339.7550000000006</v>
      </c>
      <c r="M33" s="33">
        <f t="shared" si="9"/>
        <v>3063.6</v>
      </c>
      <c r="N33" s="33">
        <f t="shared" si="10"/>
        <v>3333.804000000001</v>
      </c>
      <c r="O33" s="123">
        <f t="shared" si="11"/>
        <v>3126.02</v>
      </c>
      <c r="P33" s="83">
        <f>SUM(D33:O33)</f>
        <v>29488.185000000001</v>
      </c>
      <c r="Q33" s="1" t="s">
        <v>66</v>
      </c>
    </row>
    <row r="34" spans="1:66">
      <c r="C34" s="1" t="s">
        <v>63</v>
      </c>
      <c r="D34" s="1">
        <f>143+11</f>
        <v>154</v>
      </c>
      <c r="E34" s="1">
        <f>204+13</f>
        <v>217</v>
      </c>
      <c r="F34" s="1">
        <f>221+8</f>
        <v>229</v>
      </c>
      <c r="G34" s="1">
        <f>214+11</f>
        <v>225</v>
      </c>
      <c r="H34" s="1">
        <f>232+19</f>
        <v>251</v>
      </c>
      <c r="I34" s="1">
        <f>227+11+3</f>
        <v>241</v>
      </c>
      <c r="J34" s="1">
        <f>294+9</f>
        <v>303</v>
      </c>
      <c r="K34" s="1">
        <f>165+8</f>
        <v>173</v>
      </c>
      <c r="L34" s="1">
        <f>245+8</f>
        <v>253</v>
      </c>
      <c r="M34" s="1">
        <f>312+12</f>
        <v>324</v>
      </c>
      <c r="N34" s="1">
        <f>259+25</f>
        <v>284</v>
      </c>
      <c r="O34" s="1">
        <f>246+18</f>
        <v>264</v>
      </c>
      <c r="P34" s="1">
        <f>SUM(D34:O34)</f>
        <v>2918</v>
      </c>
      <c r="Q34" s="1" t="s">
        <v>67</v>
      </c>
      <c r="R34" s="1"/>
    </row>
    <row r="35" spans="1:66">
      <c r="C35" s="1" t="s">
        <v>69</v>
      </c>
      <c r="D35" s="82">
        <f>D33/D34</f>
        <v>15.591250906453952</v>
      </c>
      <c r="E35" s="82">
        <f t="shared" ref="E35:O35" si="13">E33/E34</f>
        <v>7.179092961238859</v>
      </c>
      <c r="F35" s="82">
        <f t="shared" si="13"/>
        <v>6.2806855008534122</v>
      </c>
      <c r="G35" s="82">
        <f t="shared" si="13"/>
        <v>11.659092611393119</v>
      </c>
      <c r="H35" s="82">
        <f t="shared" si="13"/>
        <v>10.259013428519426</v>
      </c>
      <c r="I35" s="82">
        <f t="shared" si="13"/>
        <v>11.408402489626555</v>
      </c>
      <c r="J35" s="82">
        <f t="shared" si="13"/>
        <v>9.2664521452145223</v>
      </c>
      <c r="K35" s="82">
        <f t="shared" si="13"/>
        <v>8.510664739884394</v>
      </c>
      <c r="L35" s="82">
        <f t="shared" si="13"/>
        <v>9.2480434782608718</v>
      </c>
      <c r="M35" s="82">
        <f t="shared" si="13"/>
        <v>9.4555555555555557</v>
      </c>
      <c r="N35" s="82">
        <f t="shared" si="13"/>
        <v>11.738746478873242</v>
      </c>
      <c r="O35" s="82">
        <f t="shared" si="13"/>
        <v>11.840984848484849</v>
      </c>
      <c r="P35" s="82">
        <f t="shared" ref="P35" si="14">P33/P34</f>
        <v>10.105615147361206</v>
      </c>
      <c r="Q35" s="1" t="s">
        <v>68</v>
      </c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</row>
    <row r="36" spans="1:66">
      <c r="BJ36" s="1"/>
      <c r="BK36" s="1"/>
      <c r="BL36" s="1"/>
      <c r="BM36" s="1"/>
      <c r="BN36" s="1"/>
    </row>
    <row r="37" spans="1:66" s="1" customFormat="1">
      <c r="A37" s="52">
        <v>2015</v>
      </c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4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4"/>
    </row>
    <row r="38" spans="1:66" ht="16.5" thickBot="1">
      <c r="A38" s="1"/>
      <c r="B38" s="81">
        <v>41974</v>
      </c>
      <c r="C38" s="13" t="s">
        <v>30</v>
      </c>
      <c r="D38" s="13" t="s">
        <v>30</v>
      </c>
      <c r="E38" s="13" t="s">
        <v>30</v>
      </c>
      <c r="F38" s="76" t="s">
        <v>46</v>
      </c>
      <c r="G38" s="75" t="s">
        <v>30</v>
      </c>
      <c r="H38" s="68" t="s">
        <v>31</v>
      </c>
      <c r="I38" s="68" t="s">
        <v>31</v>
      </c>
      <c r="J38" s="68" t="s">
        <v>31</v>
      </c>
      <c r="K38" s="76" t="s">
        <v>46</v>
      </c>
      <c r="L38" s="67" t="s">
        <v>31</v>
      </c>
      <c r="M38" s="68" t="s">
        <v>32</v>
      </c>
      <c r="N38" s="68" t="s">
        <v>32</v>
      </c>
      <c r="O38" s="68" t="s">
        <v>32</v>
      </c>
      <c r="P38" s="76" t="s">
        <v>46</v>
      </c>
      <c r="Q38" s="67" t="s">
        <v>32</v>
      </c>
      <c r="R38" s="68" t="s">
        <v>33</v>
      </c>
      <c r="S38" s="68" t="s">
        <v>33</v>
      </c>
      <c r="T38" s="68" t="s">
        <v>33</v>
      </c>
      <c r="U38" s="76" t="s">
        <v>46</v>
      </c>
      <c r="V38" s="67" t="s">
        <v>33</v>
      </c>
      <c r="W38" s="68" t="s">
        <v>39</v>
      </c>
      <c r="X38" s="68" t="s">
        <v>39</v>
      </c>
      <c r="Y38" s="68" t="s">
        <v>39</v>
      </c>
      <c r="Z38" s="76" t="s">
        <v>46</v>
      </c>
      <c r="AA38" s="67" t="s">
        <v>39</v>
      </c>
      <c r="AB38" s="68" t="s">
        <v>53</v>
      </c>
      <c r="AC38" s="68" t="s">
        <v>53</v>
      </c>
      <c r="AD38" s="68" t="s">
        <v>53</v>
      </c>
      <c r="AE38" s="76" t="s">
        <v>46</v>
      </c>
      <c r="AF38" s="67" t="s">
        <v>53</v>
      </c>
      <c r="AG38" s="68" t="s">
        <v>55</v>
      </c>
      <c r="AH38" s="68" t="s">
        <v>55</v>
      </c>
      <c r="AI38" s="68" t="s">
        <v>55</v>
      </c>
      <c r="AJ38" s="76" t="s">
        <v>46</v>
      </c>
      <c r="AK38" s="67" t="s">
        <v>55</v>
      </c>
      <c r="AL38" s="68" t="s">
        <v>56</v>
      </c>
      <c r="AM38" s="68" t="s">
        <v>56</v>
      </c>
      <c r="AN38" s="68" t="s">
        <v>56</v>
      </c>
      <c r="AO38" s="76" t="s">
        <v>46</v>
      </c>
      <c r="AP38" s="68" t="s">
        <v>56</v>
      </c>
      <c r="AQ38" s="68" t="s">
        <v>57</v>
      </c>
      <c r="AR38" s="68" t="s">
        <v>57</v>
      </c>
      <c r="AS38" s="68" t="s">
        <v>57</v>
      </c>
      <c r="AT38" s="76" t="s">
        <v>46</v>
      </c>
      <c r="AU38" s="68" t="s">
        <v>57</v>
      </c>
      <c r="AV38" s="68" t="s">
        <v>58</v>
      </c>
      <c r="AW38" s="68" t="s">
        <v>58</v>
      </c>
      <c r="AX38" s="68" t="s">
        <v>58</v>
      </c>
      <c r="AY38" s="76" t="s">
        <v>46</v>
      </c>
      <c r="AZ38" s="67" t="s">
        <v>58</v>
      </c>
      <c r="BA38" s="68" t="s">
        <v>59</v>
      </c>
      <c r="BB38" s="68" t="s">
        <v>59</v>
      </c>
      <c r="BC38" s="68" t="s">
        <v>59</v>
      </c>
      <c r="BD38" s="76" t="s">
        <v>46</v>
      </c>
      <c r="BE38" s="68" t="s">
        <v>59</v>
      </c>
      <c r="BF38" s="68" t="s">
        <v>60</v>
      </c>
      <c r="BG38" s="68" t="s">
        <v>60</v>
      </c>
      <c r="BH38" s="68" t="s">
        <v>60</v>
      </c>
      <c r="BI38" s="76" t="s">
        <v>46</v>
      </c>
      <c r="BJ38" s="1"/>
      <c r="BK38" s="1"/>
      <c r="BL38" s="1"/>
      <c r="BM38" s="1"/>
      <c r="BN38" s="1"/>
    </row>
    <row r="39" spans="1:66">
      <c r="A39" s="120" t="s">
        <v>62</v>
      </c>
      <c r="B39" s="11" t="s">
        <v>1</v>
      </c>
      <c r="C39" s="3" t="s">
        <v>4</v>
      </c>
      <c r="D39" s="3" t="s">
        <v>2</v>
      </c>
      <c r="E39" s="11" t="s">
        <v>1</v>
      </c>
      <c r="F39" s="79" t="s">
        <v>47</v>
      </c>
      <c r="G39" s="11" t="s">
        <v>1</v>
      </c>
      <c r="H39" s="3" t="s">
        <v>4</v>
      </c>
      <c r="I39" s="3" t="s">
        <v>2</v>
      </c>
      <c r="J39" s="11" t="s">
        <v>1</v>
      </c>
      <c r="K39" s="79" t="s">
        <v>47</v>
      </c>
      <c r="L39" s="11" t="s">
        <v>1</v>
      </c>
      <c r="M39" s="3" t="s">
        <v>4</v>
      </c>
      <c r="N39" s="3" t="s">
        <v>2</v>
      </c>
      <c r="O39" s="11" t="s">
        <v>1</v>
      </c>
      <c r="P39" s="79" t="s">
        <v>47</v>
      </c>
      <c r="Q39" s="11" t="s">
        <v>1</v>
      </c>
      <c r="R39" s="3" t="s">
        <v>4</v>
      </c>
      <c r="S39" s="3" t="s">
        <v>2</v>
      </c>
      <c r="T39" s="11" t="s">
        <v>1</v>
      </c>
      <c r="U39" s="79" t="s">
        <v>47</v>
      </c>
      <c r="V39" s="11" t="s">
        <v>1</v>
      </c>
      <c r="W39" s="3" t="s">
        <v>4</v>
      </c>
      <c r="X39" s="3" t="s">
        <v>2</v>
      </c>
      <c r="Y39" s="11" t="s">
        <v>1</v>
      </c>
      <c r="Z39" s="79" t="s">
        <v>47</v>
      </c>
      <c r="AA39" s="11" t="s">
        <v>1</v>
      </c>
      <c r="AB39" s="3" t="s">
        <v>4</v>
      </c>
      <c r="AC39" s="3" t="s">
        <v>2</v>
      </c>
      <c r="AD39" s="11" t="s">
        <v>1</v>
      </c>
      <c r="AE39" s="79" t="s">
        <v>47</v>
      </c>
      <c r="AF39" s="11" t="s">
        <v>1</v>
      </c>
      <c r="AG39" s="3" t="s">
        <v>4</v>
      </c>
      <c r="AH39" s="3" t="s">
        <v>2</v>
      </c>
      <c r="AI39" s="11" t="s">
        <v>1</v>
      </c>
      <c r="AJ39" s="79" t="s">
        <v>47</v>
      </c>
      <c r="AK39" s="11" t="s">
        <v>1</v>
      </c>
      <c r="AL39" s="3" t="s">
        <v>4</v>
      </c>
      <c r="AM39" s="3" t="s">
        <v>2</v>
      </c>
      <c r="AN39" s="11" t="s">
        <v>1</v>
      </c>
      <c r="AO39" s="79" t="s">
        <v>47</v>
      </c>
      <c r="AP39" s="11" t="s">
        <v>1</v>
      </c>
      <c r="AQ39" s="3" t="s">
        <v>4</v>
      </c>
      <c r="AR39" s="3" t="s">
        <v>2</v>
      </c>
      <c r="AS39" s="11" t="s">
        <v>1</v>
      </c>
      <c r="AT39" s="79" t="s">
        <v>47</v>
      </c>
      <c r="AU39" s="11" t="s">
        <v>1</v>
      </c>
      <c r="AV39" s="3" t="s">
        <v>4</v>
      </c>
      <c r="AW39" s="3" t="s">
        <v>2</v>
      </c>
      <c r="AX39" s="11" t="s">
        <v>1</v>
      </c>
      <c r="AY39" s="79" t="s">
        <v>47</v>
      </c>
      <c r="AZ39" s="11" t="s">
        <v>1</v>
      </c>
      <c r="BA39" s="3" t="s">
        <v>4</v>
      </c>
      <c r="BB39" s="3" t="s">
        <v>2</v>
      </c>
      <c r="BC39" s="11" t="s">
        <v>1</v>
      </c>
      <c r="BD39" s="79" t="s">
        <v>47</v>
      </c>
      <c r="BE39" s="11" t="s">
        <v>59</v>
      </c>
      <c r="BF39" s="3" t="s">
        <v>4</v>
      </c>
      <c r="BG39" s="3" t="s">
        <v>2</v>
      </c>
      <c r="BH39" s="11" t="s">
        <v>1</v>
      </c>
      <c r="BI39" s="79" t="s">
        <v>47</v>
      </c>
      <c r="BJ39" s="1"/>
      <c r="BK39" s="1"/>
      <c r="BL39" s="1"/>
      <c r="BM39" s="1"/>
      <c r="BN39" s="1"/>
    </row>
    <row r="40" spans="1:66">
      <c r="A40" s="121"/>
      <c r="B40" s="12" t="s">
        <v>37</v>
      </c>
      <c r="C40" s="2" t="s">
        <v>5</v>
      </c>
      <c r="D40" s="2" t="s">
        <v>3</v>
      </c>
      <c r="E40" s="12" t="s">
        <v>37</v>
      </c>
      <c r="F40" s="78" t="s">
        <v>30</v>
      </c>
      <c r="G40" s="12" t="s">
        <v>37</v>
      </c>
      <c r="H40" s="2" t="s">
        <v>5</v>
      </c>
      <c r="I40" s="2" t="s">
        <v>3</v>
      </c>
      <c r="J40" s="12" t="s">
        <v>37</v>
      </c>
      <c r="K40" s="78" t="s">
        <v>31</v>
      </c>
      <c r="L40" s="12" t="s">
        <v>37</v>
      </c>
      <c r="M40" s="2" t="s">
        <v>5</v>
      </c>
      <c r="N40" s="2" t="s">
        <v>3</v>
      </c>
      <c r="O40" s="12" t="s">
        <v>37</v>
      </c>
      <c r="P40" s="78" t="s">
        <v>32</v>
      </c>
      <c r="Q40" s="12" t="s">
        <v>37</v>
      </c>
      <c r="R40" s="2" t="s">
        <v>5</v>
      </c>
      <c r="S40" s="2" t="s">
        <v>3</v>
      </c>
      <c r="T40" s="12" t="s">
        <v>37</v>
      </c>
      <c r="U40" s="78" t="s">
        <v>33</v>
      </c>
      <c r="V40" s="12" t="s">
        <v>37</v>
      </c>
      <c r="W40" s="2" t="s">
        <v>5</v>
      </c>
      <c r="X40" s="2" t="s">
        <v>3</v>
      </c>
      <c r="Y40" s="12" t="s">
        <v>37</v>
      </c>
      <c r="Z40" s="78" t="s">
        <v>39</v>
      </c>
      <c r="AA40" s="12" t="s">
        <v>37</v>
      </c>
      <c r="AB40" s="2" t="s">
        <v>5</v>
      </c>
      <c r="AC40" s="2" t="s">
        <v>3</v>
      </c>
      <c r="AD40" s="12" t="s">
        <v>37</v>
      </c>
      <c r="AE40" s="78" t="s">
        <v>53</v>
      </c>
      <c r="AF40" s="12" t="s">
        <v>37</v>
      </c>
      <c r="AG40" s="2" t="s">
        <v>5</v>
      </c>
      <c r="AH40" s="2" t="s">
        <v>3</v>
      </c>
      <c r="AI40" s="12" t="s">
        <v>37</v>
      </c>
      <c r="AJ40" s="78" t="s">
        <v>55</v>
      </c>
      <c r="AK40" s="12" t="s">
        <v>37</v>
      </c>
      <c r="AL40" s="2" t="s">
        <v>5</v>
      </c>
      <c r="AM40" s="2" t="s">
        <v>3</v>
      </c>
      <c r="AN40" s="12" t="s">
        <v>37</v>
      </c>
      <c r="AO40" s="78" t="s">
        <v>56</v>
      </c>
      <c r="AP40" s="12" t="s">
        <v>37</v>
      </c>
      <c r="AQ40" s="2" t="s">
        <v>5</v>
      </c>
      <c r="AR40" s="2" t="s">
        <v>3</v>
      </c>
      <c r="AS40" s="12" t="s">
        <v>37</v>
      </c>
      <c r="AT40" s="78" t="s">
        <v>57</v>
      </c>
      <c r="AU40" s="12" t="s">
        <v>37</v>
      </c>
      <c r="AV40" s="2" t="s">
        <v>5</v>
      </c>
      <c r="AW40" s="2" t="s">
        <v>3</v>
      </c>
      <c r="AX40" s="12" t="s">
        <v>37</v>
      </c>
      <c r="AY40" s="78" t="s">
        <v>58</v>
      </c>
      <c r="AZ40" s="12" t="s">
        <v>37</v>
      </c>
      <c r="BA40" s="2" t="s">
        <v>5</v>
      </c>
      <c r="BB40" s="2" t="s">
        <v>3</v>
      </c>
      <c r="BC40" s="12" t="s">
        <v>37</v>
      </c>
      <c r="BD40" s="78" t="s">
        <v>59</v>
      </c>
      <c r="BE40" s="12" t="s">
        <v>37</v>
      </c>
      <c r="BF40" s="2" t="s">
        <v>5</v>
      </c>
      <c r="BG40" s="2" t="s">
        <v>3</v>
      </c>
      <c r="BH40" s="12" t="s">
        <v>37</v>
      </c>
      <c r="BI40" s="78" t="s">
        <v>60</v>
      </c>
      <c r="BJ40" s="1"/>
      <c r="BK40" s="1"/>
      <c r="BL40" s="1"/>
      <c r="BM40" s="1"/>
      <c r="BN40" s="1"/>
    </row>
    <row r="41" spans="1:66" s="1" customFormat="1">
      <c r="A41" s="121"/>
      <c r="B41" s="12"/>
      <c r="C41" s="12" t="s">
        <v>72</v>
      </c>
      <c r="D41" s="2"/>
      <c r="E41" s="12"/>
      <c r="F41" s="78"/>
      <c r="G41" s="12"/>
      <c r="H41" s="12" t="s">
        <v>72</v>
      </c>
      <c r="I41" s="2"/>
      <c r="J41" s="12"/>
      <c r="K41" s="78"/>
      <c r="L41" s="12"/>
      <c r="M41" s="12" t="s">
        <v>72</v>
      </c>
      <c r="N41" s="2"/>
      <c r="O41" s="12" t="s">
        <v>72</v>
      </c>
      <c r="P41" s="78"/>
      <c r="Q41" s="12"/>
      <c r="R41" s="12" t="s">
        <v>72</v>
      </c>
      <c r="S41" s="2"/>
      <c r="T41" s="12" t="s">
        <v>72</v>
      </c>
      <c r="U41" s="78"/>
      <c r="V41" s="12"/>
      <c r="W41" s="12" t="s">
        <v>72</v>
      </c>
      <c r="X41" s="2"/>
      <c r="Y41" s="12"/>
      <c r="Z41" s="78"/>
      <c r="AA41" s="12"/>
      <c r="AB41" s="12" t="s">
        <v>72</v>
      </c>
      <c r="AC41" s="2"/>
      <c r="AD41" s="12"/>
      <c r="AE41" s="78"/>
      <c r="AF41" s="12"/>
      <c r="AG41" s="12" t="s">
        <v>72</v>
      </c>
      <c r="AH41" s="2"/>
      <c r="AI41" s="12"/>
      <c r="AJ41" s="78"/>
      <c r="AK41" s="12"/>
      <c r="AL41" s="12" t="s">
        <v>72</v>
      </c>
      <c r="AM41" s="2"/>
      <c r="AN41" s="12"/>
      <c r="AO41" s="78"/>
      <c r="AP41" s="12"/>
      <c r="AQ41" s="12" t="s">
        <v>72</v>
      </c>
      <c r="AR41" s="2"/>
      <c r="AS41" s="12"/>
      <c r="AT41" s="78"/>
      <c r="AU41" s="12"/>
      <c r="AV41" s="12" t="s">
        <v>72</v>
      </c>
      <c r="AW41" s="2"/>
      <c r="AX41" s="12"/>
      <c r="AY41" s="78"/>
      <c r="AZ41" s="12"/>
      <c r="BA41" s="12" t="s">
        <v>72</v>
      </c>
      <c r="BB41" s="2"/>
      <c r="BC41" s="12"/>
      <c r="BD41" s="78"/>
      <c r="BE41" s="12"/>
      <c r="BF41" s="12" t="s">
        <v>72</v>
      </c>
      <c r="BG41" s="2"/>
      <c r="BH41" s="12"/>
      <c r="BI41" s="78"/>
    </row>
    <row r="42" spans="1:66">
      <c r="A42" s="122"/>
      <c r="B42" s="12" t="s">
        <v>0</v>
      </c>
      <c r="C42" s="12" t="s">
        <v>0</v>
      </c>
      <c r="D42" s="2" t="s">
        <v>0</v>
      </c>
      <c r="E42" s="12" t="s">
        <v>0</v>
      </c>
      <c r="F42" s="64" t="s">
        <v>0</v>
      </c>
      <c r="G42" s="12" t="s">
        <v>0</v>
      </c>
      <c r="H42" s="12" t="s">
        <v>0</v>
      </c>
      <c r="I42" s="2" t="s">
        <v>0</v>
      </c>
      <c r="J42" s="12" t="s">
        <v>0</v>
      </c>
      <c r="K42" s="64" t="s">
        <v>0</v>
      </c>
      <c r="L42" s="12" t="s">
        <v>0</v>
      </c>
      <c r="M42" s="12" t="s">
        <v>0</v>
      </c>
      <c r="N42" s="2" t="s">
        <v>0</v>
      </c>
      <c r="O42" s="12" t="s">
        <v>0</v>
      </c>
      <c r="P42" s="64" t="s">
        <v>0</v>
      </c>
      <c r="Q42" s="12" t="s">
        <v>0</v>
      </c>
      <c r="R42" s="12" t="s">
        <v>0</v>
      </c>
      <c r="S42" s="2" t="s">
        <v>0</v>
      </c>
      <c r="T42" s="12" t="s">
        <v>0</v>
      </c>
      <c r="U42" s="64" t="s">
        <v>0</v>
      </c>
      <c r="V42" s="12" t="s">
        <v>0</v>
      </c>
      <c r="W42" s="12" t="s">
        <v>0</v>
      </c>
      <c r="X42" s="2" t="s">
        <v>0</v>
      </c>
      <c r="Y42" s="12" t="s">
        <v>0</v>
      </c>
      <c r="Z42" s="64" t="s">
        <v>0</v>
      </c>
      <c r="AA42" s="12" t="s">
        <v>0</v>
      </c>
      <c r="AB42" s="12" t="s">
        <v>0</v>
      </c>
      <c r="AC42" s="2" t="s">
        <v>0</v>
      </c>
      <c r="AD42" s="12" t="s">
        <v>0</v>
      </c>
      <c r="AE42" s="64" t="s">
        <v>0</v>
      </c>
      <c r="AF42" s="12" t="s">
        <v>0</v>
      </c>
      <c r="AG42" s="12" t="s">
        <v>0</v>
      </c>
      <c r="AH42" s="2" t="s">
        <v>0</v>
      </c>
      <c r="AI42" s="12" t="s">
        <v>0</v>
      </c>
      <c r="AJ42" s="64" t="s">
        <v>0</v>
      </c>
      <c r="AK42" s="12" t="s">
        <v>0</v>
      </c>
      <c r="AL42" s="12" t="s">
        <v>0</v>
      </c>
      <c r="AM42" s="2" t="s">
        <v>0</v>
      </c>
      <c r="AN42" s="12" t="s">
        <v>0</v>
      </c>
      <c r="AO42" s="64" t="s">
        <v>0</v>
      </c>
      <c r="AP42" s="12" t="s">
        <v>0</v>
      </c>
      <c r="AQ42" s="12" t="s">
        <v>0</v>
      </c>
      <c r="AR42" s="2" t="s">
        <v>0</v>
      </c>
      <c r="AS42" s="12" t="s">
        <v>0</v>
      </c>
      <c r="AT42" s="64" t="s">
        <v>0</v>
      </c>
      <c r="AU42" s="12" t="s">
        <v>0</v>
      </c>
      <c r="AV42" s="12" t="s">
        <v>0</v>
      </c>
      <c r="AW42" s="2" t="s">
        <v>0</v>
      </c>
      <c r="AX42" s="12" t="s">
        <v>0</v>
      </c>
      <c r="AY42" s="64" t="s">
        <v>0</v>
      </c>
      <c r="AZ42" s="12" t="s">
        <v>0</v>
      </c>
      <c r="BA42" s="12" t="s">
        <v>0</v>
      </c>
      <c r="BB42" s="2" t="s">
        <v>0</v>
      </c>
      <c r="BC42" s="12" t="s">
        <v>0</v>
      </c>
      <c r="BD42" s="64" t="s">
        <v>0</v>
      </c>
      <c r="BE42" s="12" t="s">
        <v>0</v>
      </c>
      <c r="BF42" s="12" t="s">
        <v>0</v>
      </c>
      <c r="BG42" s="2" t="s">
        <v>0</v>
      </c>
      <c r="BH42" s="12" t="s">
        <v>0</v>
      </c>
      <c r="BI42" s="64" t="s">
        <v>0</v>
      </c>
      <c r="BJ42" s="1"/>
      <c r="BK42" s="1"/>
      <c r="BL42" s="1"/>
      <c r="BM42" s="1"/>
      <c r="BN42" s="1"/>
    </row>
    <row r="43" spans="1:66">
      <c r="A43" s="4" t="s">
        <v>6</v>
      </c>
      <c r="B43" s="22">
        <v>250.59999999999997</v>
      </c>
      <c r="C43" s="22">
        <v>0</v>
      </c>
      <c r="D43" s="23">
        <v>100.8</v>
      </c>
      <c r="E43" s="24">
        <f t="shared" ref="E43:E65" si="15">G78</f>
        <v>221.2</v>
      </c>
      <c r="F43" s="65">
        <f>(B43+C43+D43)-E43</f>
        <v>130.19999999999999</v>
      </c>
      <c r="G43" s="24">
        <f>E43</f>
        <v>221.2</v>
      </c>
      <c r="H43" s="22">
        <v>0</v>
      </c>
      <c r="I43" s="23">
        <v>21</v>
      </c>
      <c r="J43" s="24">
        <f>O78</f>
        <v>134.39999999999998</v>
      </c>
      <c r="K43" s="65">
        <f>(G43+H43+I43)-J43</f>
        <v>107.80000000000001</v>
      </c>
      <c r="L43" s="22">
        <f>J43</f>
        <v>134.39999999999998</v>
      </c>
      <c r="M43" s="22">
        <v>0</v>
      </c>
      <c r="N43" s="25">
        <v>62.999999999999993</v>
      </c>
      <c r="O43" s="26">
        <f>W78</f>
        <v>72.8</v>
      </c>
      <c r="P43" s="65">
        <f>(L43+M43+N43)-O43</f>
        <v>124.59999999999998</v>
      </c>
      <c r="Q43" s="22">
        <f>O43</f>
        <v>72.8</v>
      </c>
      <c r="R43" s="22">
        <v>58.29</v>
      </c>
      <c r="S43" s="25">
        <v>35.699999999999996</v>
      </c>
      <c r="T43" s="26">
        <f>AE78</f>
        <v>58.8</v>
      </c>
      <c r="U43" s="65">
        <f>(Q43+R43+S43)-T43</f>
        <v>107.99</v>
      </c>
      <c r="V43" s="22">
        <f>T43</f>
        <v>58.8</v>
      </c>
      <c r="W43" s="22">
        <v>19.2</v>
      </c>
      <c r="X43" s="25">
        <v>87.5</v>
      </c>
      <c r="Y43" s="26">
        <f>AM78</f>
        <v>126.69999999999999</v>
      </c>
      <c r="Z43" s="65">
        <f>(V43+W43+X43)-Y43</f>
        <v>38.800000000000011</v>
      </c>
      <c r="AA43" s="22">
        <v>126.69999999999999</v>
      </c>
      <c r="AB43" s="22">
        <v>0</v>
      </c>
      <c r="AC43" s="25">
        <v>65.099999999999994</v>
      </c>
      <c r="AD43" s="26">
        <f>AU78</f>
        <v>124.6</v>
      </c>
      <c r="AE43" s="65">
        <f>(AA43+AB43+AC43)-AD43</f>
        <v>67.199999999999989</v>
      </c>
      <c r="AF43" s="22">
        <v>124.6</v>
      </c>
      <c r="AG43" s="22">
        <f>147.48+84</f>
        <v>231.48</v>
      </c>
      <c r="AH43" s="25">
        <v>65.099999999999994</v>
      </c>
      <c r="AI43" s="26">
        <f>BC78</f>
        <v>365.4</v>
      </c>
      <c r="AJ43" s="65">
        <f>(AF43+AG43+AH43)-AI43</f>
        <v>55.779999999999973</v>
      </c>
      <c r="AK43" s="22">
        <v>365.4</v>
      </c>
      <c r="AL43" s="22">
        <v>47.04</v>
      </c>
      <c r="AM43" s="25">
        <v>73.5</v>
      </c>
      <c r="AN43" s="26">
        <f>BK78</f>
        <v>361.2</v>
      </c>
      <c r="AO43" s="65">
        <f>(AK43+AL43+AM43)-AN43</f>
        <v>124.74000000000001</v>
      </c>
      <c r="AP43" s="22">
        <v>361.2</v>
      </c>
      <c r="AQ43" s="22">
        <f>4+47.04</f>
        <v>51.04</v>
      </c>
      <c r="AR43" s="25">
        <v>11.2</v>
      </c>
      <c r="AS43" s="26">
        <f>BS78</f>
        <v>138.6</v>
      </c>
      <c r="AT43" s="65">
        <f>(AP43+AQ43+AR43)-AS43</f>
        <v>284.84000000000003</v>
      </c>
      <c r="AU43" s="22">
        <v>138.6</v>
      </c>
      <c r="AV43" s="22">
        <v>43.2</v>
      </c>
      <c r="AW43" s="25">
        <v>98</v>
      </c>
      <c r="AX43" s="111">
        <f>CA78</f>
        <v>169.39999999999998</v>
      </c>
      <c r="AY43" s="65">
        <f>(AU43+AV43+AW43)-AX43</f>
        <v>110.40000000000003</v>
      </c>
      <c r="AZ43" s="22">
        <v>169.39999999999998</v>
      </c>
      <c r="BA43" s="22">
        <v>129.60000000000002</v>
      </c>
      <c r="BB43" s="25">
        <v>79.099999999999994</v>
      </c>
      <c r="BC43" s="26">
        <f>CI78</f>
        <v>283.5</v>
      </c>
      <c r="BD43" s="65">
        <f>(AZ43+BA43+BB43)-BC43</f>
        <v>94.600000000000023</v>
      </c>
      <c r="BE43" s="22">
        <v>283.5</v>
      </c>
      <c r="BF43" s="22">
        <v>180.12</v>
      </c>
      <c r="BG43" s="25">
        <v>79.099999999999994</v>
      </c>
      <c r="BH43" s="26">
        <f>CQ78</f>
        <v>473.19999999999993</v>
      </c>
      <c r="BI43" s="65">
        <f>(BE43+BF43+BG43)-BH43</f>
        <v>69.520000000000095</v>
      </c>
      <c r="BJ43" s="4" t="s">
        <v>6</v>
      </c>
      <c r="BK43" s="1"/>
      <c r="BL43" s="1"/>
      <c r="BM43" s="1"/>
      <c r="BN43" s="1"/>
    </row>
    <row r="44" spans="1:66">
      <c r="A44" s="4" t="s">
        <v>7</v>
      </c>
      <c r="B44" s="22">
        <v>135</v>
      </c>
      <c r="C44" s="22">
        <f>54+360</f>
        <v>414</v>
      </c>
      <c r="D44" s="23">
        <v>161</v>
      </c>
      <c r="E44" s="24">
        <f t="shared" si="15"/>
        <v>434</v>
      </c>
      <c r="F44" s="65">
        <f>(B44+C44+D44)-E44</f>
        <v>276</v>
      </c>
      <c r="G44" s="24">
        <f>E44</f>
        <v>434</v>
      </c>
      <c r="H44" s="22">
        <v>360</v>
      </c>
      <c r="I44" s="23">
        <v>80</v>
      </c>
      <c r="J44" s="24">
        <f>O79</f>
        <v>404</v>
      </c>
      <c r="K44" s="65">
        <f>(G44+H44+I44)-J44</f>
        <v>470</v>
      </c>
      <c r="L44" s="22">
        <f>J44</f>
        <v>404</v>
      </c>
      <c r="M44" s="22">
        <f>30+252</f>
        <v>282</v>
      </c>
      <c r="N44" s="25">
        <v>110</v>
      </c>
      <c r="O44" s="26">
        <f>W79</f>
        <v>760</v>
      </c>
      <c r="P44" s="65">
        <f>(L44+M44+N44)-O44</f>
        <v>36</v>
      </c>
      <c r="Q44" s="22">
        <f>O44</f>
        <v>760</v>
      </c>
      <c r="R44" s="22">
        <f>50.4+504</f>
        <v>554.4</v>
      </c>
      <c r="S44" s="25">
        <v>71</v>
      </c>
      <c r="T44" s="26">
        <f>AE79</f>
        <v>876</v>
      </c>
      <c r="U44" s="66">
        <f>(Q44+R44+S44)-T44</f>
        <v>509.40000000000009</v>
      </c>
      <c r="V44" s="22">
        <f>T44</f>
        <v>876</v>
      </c>
      <c r="W44" s="22">
        <f>252+168+20.4+21</f>
        <v>461.4</v>
      </c>
      <c r="X44" s="25">
        <v>121</v>
      </c>
      <c r="Y44" s="26">
        <f>AM79</f>
        <v>764</v>
      </c>
      <c r="Z44" s="66">
        <f>(V44+W44+X44)-Y44</f>
        <v>694.40000000000009</v>
      </c>
      <c r="AA44" s="27">
        <v>764</v>
      </c>
      <c r="AB44" s="27">
        <f>63+336</f>
        <v>399</v>
      </c>
      <c r="AC44" s="28">
        <v>89</v>
      </c>
      <c r="AD44" s="29">
        <f>AU79</f>
        <v>470</v>
      </c>
      <c r="AE44" s="66">
        <f t="shared" ref="AE44:AE71" si="16">AA44+AB44+AC44-AD44</f>
        <v>782</v>
      </c>
      <c r="AF44" s="27">
        <v>470</v>
      </c>
      <c r="AG44" s="27">
        <v>268.64</v>
      </c>
      <c r="AH44" s="28">
        <v>89</v>
      </c>
      <c r="AI44" s="26">
        <f>BC79</f>
        <v>99</v>
      </c>
      <c r="AJ44" s="66">
        <f t="shared" ref="AJ44:AJ71" si="17">AF44+AG44+AH44-AI44</f>
        <v>728.64</v>
      </c>
      <c r="AK44" s="27">
        <v>99</v>
      </c>
      <c r="AL44" s="27"/>
      <c r="AM44" s="28">
        <v>140</v>
      </c>
      <c r="AN44" s="26">
        <f t="shared" ref="AN44:AN65" si="18">BK79</f>
        <v>86</v>
      </c>
      <c r="AO44" s="66">
        <f t="shared" ref="AO44:AO71" si="19">AK44+AL44+AM44-AN44</f>
        <v>153</v>
      </c>
      <c r="AP44" s="27">
        <v>86</v>
      </c>
      <c r="AQ44" s="27">
        <f>97.55+432</f>
        <v>529.54999999999995</v>
      </c>
      <c r="AR44" s="28">
        <v>19</v>
      </c>
      <c r="AS44" s="26">
        <f>BS79</f>
        <v>256</v>
      </c>
      <c r="AT44" s="66">
        <f t="shared" ref="AT44:AT71" si="20">AP44+AQ44+AR44-AS44</f>
        <v>378.54999999999995</v>
      </c>
      <c r="AU44" s="27">
        <v>256</v>
      </c>
      <c r="AV44" s="27">
        <f>432+125.28</f>
        <v>557.28</v>
      </c>
      <c r="AW44" s="28">
        <v>188</v>
      </c>
      <c r="AX44" s="111">
        <f>CA79</f>
        <v>422</v>
      </c>
      <c r="AY44" s="66">
        <f t="shared" ref="AY44:AY71" si="21">AU44+AV44+AW44-AX44</f>
        <v>579.28</v>
      </c>
      <c r="AZ44" s="27">
        <v>422</v>
      </c>
      <c r="BA44" s="27">
        <f>648+15.4</f>
        <v>663.4</v>
      </c>
      <c r="BB44" s="28">
        <v>37</v>
      </c>
      <c r="BC44" s="26">
        <f>CI79</f>
        <v>512</v>
      </c>
      <c r="BD44" s="66">
        <f t="shared" ref="BD44:BD71" si="22">AZ44+BA44+BB44-BC44</f>
        <v>610.40000000000009</v>
      </c>
      <c r="BE44" s="27">
        <v>512</v>
      </c>
      <c r="BF44" s="27">
        <f>204+162</f>
        <v>366</v>
      </c>
      <c r="BG44" s="28">
        <v>37</v>
      </c>
      <c r="BH44" s="26">
        <f>CQ79</f>
        <v>325</v>
      </c>
      <c r="BI44" s="66">
        <f t="shared" ref="BI44:BI71" si="23">BE44+BF44+BG44-BH44</f>
        <v>590</v>
      </c>
      <c r="BJ44" s="4" t="s">
        <v>7</v>
      </c>
      <c r="BK44" s="1"/>
      <c r="BL44" s="1"/>
      <c r="BM44" s="1"/>
      <c r="BN44" s="1"/>
    </row>
    <row r="45" spans="1:66">
      <c r="A45" s="4" t="s">
        <v>8</v>
      </c>
      <c r="B45" s="22">
        <v>387.5</v>
      </c>
      <c r="C45" s="22">
        <f>70+300</f>
        <v>370</v>
      </c>
      <c r="D45" s="23">
        <v>89.5</v>
      </c>
      <c r="E45" s="24">
        <f t="shared" si="15"/>
        <v>391</v>
      </c>
      <c r="F45" s="65">
        <f t="shared" ref="F45:F71" si="24">(B45+C45+D45)-E45</f>
        <v>456</v>
      </c>
      <c r="G45" s="24">
        <f t="shared" ref="G45:G71" si="25">E45</f>
        <v>391</v>
      </c>
      <c r="H45" s="22">
        <f>75+270</f>
        <v>345</v>
      </c>
      <c r="I45" s="23">
        <v>27.5</v>
      </c>
      <c r="J45" s="24">
        <f t="shared" ref="J45:J65" si="26">O80</f>
        <v>740</v>
      </c>
      <c r="K45" s="65">
        <f t="shared" ref="K45:K71" si="27">(G45+H45+I45)-J45</f>
        <v>23.5</v>
      </c>
      <c r="L45" s="22">
        <f t="shared" ref="L45:L71" si="28">J45</f>
        <v>740</v>
      </c>
      <c r="M45" s="22">
        <f>48.18+180</f>
        <v>228.18</v>
      </c>
      <c r="N45" s="25">
        <v>76.5</v>
      </c>
      <c r="O45" s="26">
        <f t="shared" ref="O45:O65" si="29">W80</f>
        <v>631.5</v>
      </c>
      <c r="P45" s="65">
        <f t="shared" ref="P45:P71" si="30">(L45+M45+N45)-O45</f>
        <v>413.18000000000006</v>
      </c>
      <c r="Q45" s="22">
        <f t="shared" ref="Q45:Q71" si="31">O45</f>
        <v>631.5</v>
      </c>
      <c r="R45" s="22">
        <f>97.62+255</f>
        <v>352.62</v>
      </c>
      <c r="S45" s="25">
        <v>150</v>
      </c>
      <c r="T45" s="26">
        <f t="shared" ref="T45:T65" si="32">AE80</f>
        <v>424</v>
      </c>
      <c r="U45" s="66">
        <f t="shared" ref="U45:U71" si="33">(Q45+R45+S45)-T45</f>
        <v>710.11999999999989</v>
      </c>
      <c r="V45" s="22">
        <f t="shared" ref="V45:V71" si="34">T45</f>
        <v>424</v>
      </c>
      <c r="W45" s="22">
        <f>90.875+80+79.62</f>
        <v>250.495</v>
      </c>
      <c r="X45" s="25">
        <v>86</v>
      </c>
      <c r="Y45" s="26">
        <f t="shared" ref="Y45:Y64" si="35">AM80</f>
        <v>422</v>
      </c>
      <c r="Z45" s="66">
        <f t="shared" ref="Z45:Z71" si="36">(V45+W45+X45)-Y45</f>
        <v>338.495</v>
      </c>
      <c r="AA45" s="27">
        <v>422</v>
      </c>
      <c r="AB45" s="27">
        <v>224</v>
      </c>
      <c r="AC45" s="28">
        <v>59</v>
      </c>
      <c r="AD45" s="29">
        <f t="shared" ref="AD45:AD71" si="37">AU80</f>
        <v>314</v>
      </c>
      <c r="AE45" s="65">
        <f t="shared" si="16"/>
        <v>391</v>
      </c>
      <c r="AF45" s="27">
        <v>314</v>
      </c>
      <c r="AG45" s="27">
        <v>76.44</v>
      </c>
      <c r="AH45" s="28">
        <v>35.5</v>
      </c>
      <c r="AI45" s="26">
        <f t="shared" ref="AI45:AI71" si="38">BC80</f>
        <v>151</v>
      </c>
      <c r="AJ45" s="65">
        <f t="shared" si="17"/>
        <v>274.94</v>
      </c>
      <c r="AK45" s="27">
        <v>151</v>
      </c>
      <c r="AL45" s="27">
        <f>90+90</f>
        <v>180</v>
      </c>
      <c r="AM45" s="28">
        <v>81.5</v>
      </c>
      <c r="AN45" s="26">
        <f t="shared" si="18"/>
        <v>209.5</v>
      </c>
      <c r="AO45" s="65">
        <f t="shared" si="19"/>
        <v>203</v>
      </c>
      <c r="AP45" s="27">
        <v>209.5</v>
      </c>
      <c r="AQ45" s="27">
        <f>36+270</f>
        <v>306</v>
      </c>
      <c r="AR45" s="28">
        <v>19.5</v>
      </c>
      <c r="AS45" s="26">
        <f t="shared" ref="AS45:AS71" si="39">BS80</f>
        <v>232.5</v>
      </c>
      <c r="AT45" s="65">
        <f t="shared" si="20"/>
        <v>302.5</v>
      </c>
      <c r="AU45" s="27">
        <v>232.5</v>
      </c>
      <c r="AV45" s="27">
        <f>225+15</f>
        <v>240</v>
      </c>
      <c r="AW45" s="28">
        <v>115</v>
      </c>
      <c r="AX45" s="111">
        <f t="shared" ref="AX45:AX65" si="40">CA80</f>
        <v>210.5</v>
      </c>
      <c r="AY45" s="65">
        <f t="shared" si="21"/>
        <v>377</v>
      </c>
      <c r="AZ45" s="27">
        <v>210.5</v>
      </c>
      <c r="BA45" s="27">
        <f>630+116.3</f>
        <v>746.3</v>
      </c>
      <c r="BB45" s="28">
        <v>133</v>
      </c>
      <c r="BC45" s="26">
        <f t="shared" ref="BC45:BC65" si="41">CI80</f>
        <v>590</v>
      </c>
      <c r="BD45" s="65">
        <f t="shared" si="22"/>
        <v>499.79999999999995</v>
      </c>
      <c r="BE45" s="27">
        <v>590</v>
      </c>
      <c r="BF45" s="27">
        <f>150+350.01</f>
        <v>500.01</v>
      </c>
      <c r="BG45" s="28">
        <v>133</v>
      </c>
      <c r="BH45" s="26">
        <f t="shared" ref="BH45:BH71" si="42">CQ80</f>
        <v>752</v>
      </c>
      <c r="BI45" s="65">
        <f t="shared" si="23"/>
        <v>471.01</v>
      </c>
      <c r="BJ45" s="4" t="s">
        <v>8</v>
      </c>
      <c r="BK45" s="1"/>
      <c r="BL45" s="1"/>
      <c r="BM45" s="1"/>
      <c r="BN45" s="1"/>
    </row>
    <row r="46" spans="1:66">
      <c r="A46" s="15" t="s">
        <v>41</v>
      </c>
      <c r="B46" s="22">
        <v>0</v>
      </c>
      <c r="C46" s="22">
        <v>23.04</v>
      </c>
      <c r="D46" s="23">
        <v>48.5</v>
      </c>
      <c r="E46" s="24">
        <f t="shared" si="15"/>
        <v>0</v>
      </c>
      <c r="F46" s="65">
        <f t="shared" si="24"/>
        <v>71.539999999999992</v>
      </c>
      <c r="G46" s="24">
        <f t="shared" si="25"/>
        <v>0</v>
      </c>
      <c r="H46" s="22">
        <v>0</v>
      </c>
      <c r="I46" s="23">
        <v>0</v>
      </c>
      <c r="J46" s="24">
        <f t="shared" si="26"/>
        <v>0</v>
      </c>
      <c r="K46" s="65">
        <f t="shared" si="27"/>
        <v>0</v>
      </c>
      <c r="L46" s="22">
        <f t="shared" si="28"/>
        <v>0</v>
      </c>
      <c r="M46" s="22">
        <v>11.61</v>
      </c>
      <c r="N46" s="25">
        <v>0</v>
      </c>
      <c r="O46" s="26">
        <f t="shared" si="29"/>
        <v>0</v>
      </c>
      <c r="P46" s="65">
        <f t="shared" si="30"/>
        <v>11.61</v>
      </c>
      <c r="Q46" s="22">
        <f t="shared" si="31"/>
        <v>0</v>
      </c>
      <c r="R46" s="22">
        <v>11.61</v>
      </c>
      <c r="S46" s="25">
        <v>0</v>
      </c>
      <c r="T46" s="26">
        <f t="shared" si="32"/>
        <v>0</v>
      </c>
      <c r="U46" s="66">
        <f t="shared" si="33"/>
        <v>11.61</v>
      </c>
      <c r="V46" s="22">
        <f t="shared" si="34"/>
        <v>0</v>
      </c>
      <c r="W46" s="22">
        <f>48.6+48.6</f>
        <v>97.2</v>
      </c>
      <c r="X46" s="25">
        <v>0</v>
      </c>
      <c r="Y46" s="26">
        <f t="shared" si="35"/>
        <v>95.58</v>
      </c>
      <c r="Z46" s="66">
        <f t="shared" si="36"/>
        <v>1.6200000000000045</v>
      </c>
      <c r="AA46" s="27">
        <v>95.58</v>
      </c>
      <c r="AB46" s="27">
        <v>0</v>
      </c>
      <c r="AC46" s="28">
        <v>0</v>
      </c>
      <c r="AD46" s="29">
        <f t="shared" si="37"/>
        <v>0</v>
      </c>
      <c r="AE46" s="65">
        <f t="shared" si="16"/>
        <v>95.58</v>
      </c>
      <c r="AF46" s="27">
        <v>0</v>
      </c>
      <c r="AG46" s="27">
        <f>78.09+39</f>
        <v>117.09</v>
      </c>
      <c r="AH46" s="28">
        <v>0</v>
      </c>
      <c r="AI46" s="26">
        <f t="shared" si="38"/>
        <v>76.7</v>
      </c>
      <c r="AJ46" s="65">
        <f t="shared" si="17"/>
        <v>40.39</v>
      </c>
      <c r="AK46" s="27">
        <v>76.7</v>
      </c>
      <c r="AL46" s="27">
        <v>6</v>
      </c>
      <c r="AM46" s="28">
        <v>0</v>
      </c>
      <c r="AN46" s="26">
        <f t="shared" si="18"/>
        <v>48.379999999999995</v>
      </c>
      <c r="AO46" s="65">
        <f t="shared" si="19"/>
        <v>34.320000000000007</v>
      </c>
      <c r="AP46" s="27">
        <v>48.379999999999995</v>
      </c>
      <c r="AQ46" s="27">
        <f>19.2</f>
        <v>19.2</v>
      </c>
      <c r="AR46" s="28">
        <v>0</v>
      </c>
      <c r="AS46" s="26">
        <f t="shared" si="39"/>
        <v>0</v>
      </c>
      <c r="AT46" s="65">
        <f t="shared" si="20"/>
        <v>67.58</v>
      </c>
      <c r="AU46" s="27">
        <v>0</v>
      </c>
      <c r="AV46" s="27">
        <v>0</v>
      </c>
      <c r="AW46" s="28">
        <v>0</v>
      </c>
      <c r="AX46" s="111">
        <f t="shared" si="40"/>
        <v>0</v>
      </c>
      <c r="AY46" s="65">
        <f t="shared" si="21"/>
        <v>0</v>
      </c>
      <c r="AZ46" s="27">
        <v>0</v>
      </c>
      <c r="BA46" s="27">
        <v>0</v>
      </c>
      <c r="BB46" s="28">
        <v>0</v>
      </c>
      <c r="BC46" s="26">
        <f t="shared" si="41"/>
        <v>0</v>
      </c>
      <c r="BD46" s="65">
        <f t="shared" si="22"/>
        <v>0</v>
      </c>
      <c r="BE46" s="27">
        <v>0</v>
      </c>
      <c r="BF46" s="27">
        <v>0</v>
      </c>
      <c r="BG46" s="28">
        <v>0</v>
      </c>
      <c r="BH46" s="26">
        <f t="shared" si="42"/>
        <v>0</v>
      </c>
      <c r="BI46" s="65">
        <f t="shared" si="23"/>
        <v>0</v>
      </c>
      <c r="BJ46" s="15" t="s">
        <v>41</v>
      </c>
      <c r="BK46" s="1"/>
      <c r="BL46" s="1"/>
      <c r="BM46" s="1"/>
      <c r="BN46" s="1"/>
    </row>
    <row r="47" spans="1:66">
      <c r="A47" s="4" t="s">
        <v>10</v>
      </c>
      <c r="B47" s="22">
        <v>0</v>
      </c>
      <c r="C47" s="22">
        <v>0</v>
      </c>
      <c r="D47" s="23">
        <v>0</v>
      </c>
      <c r="E47" s="24">
        <f t="shared" si="15"/>
        <v>0</v>
      </c>
      <c r="F47" s="65">
        <f t="shared" si="24"/>
        <v>0</v>
      </c>
      <c r="G47" s="24">
        <f t="shared" si="25"/>
        <v>0</v>
      </c>
      <c r="H47" s="22">
        <v>0</v>
      </c>
      <c r="I47" s="23">
        <v>0</v>
      </c>
      <c r="J47" s="24">
        <f t="shared" si="26"/>
        <v>0</v>
      </c>
      <c r="K47" s="65">
        <f t="shared" si="27"/>
        <v>0</v>
      </c>
      <c r="L47" s="22">
        <f t="shared" si="28"/>
        <v>0</v>
      </c>
      <c r="M47" s="22">
        <v>0</v>
      </c>
      <c r="N47" s="25">
        <v>0</v>
      </c>
      <c r="O47" s="26">
        <f t="shared" si="29"/>
        <v>0</v>
      </c>
      <c r="P47" s="65">
        <f t="shared" si="30"/>
        <v>0</v>
      </c>
      <c r="Q47" s="22">
        <f t="shared" si="31"/>
        <v>0</v>
      </c>
      <c r="R47" s="22">
        <v>0</v>
      </c>
      <c r="S47" s="25">
        <v>0</v>
      </c>
      <c r="T47" s="26">
        <f t="shared" si="32"/>
        <v>0</v>
      </c>
      <c r="U47" s="66">
        <f t="shared" si="33"/>
        <v>0</v>
      </c>
      <c r="V47" s="22">
        <f t="shared" si="34"/>
        <v>0</v>
      </c>
      <c r="W47" s="22">
        <v>0</v>
      </c>
      <c r="X47" s="25">
        <v>0</v>
      </c>
      <c r="Y47" s="26">
        <f t="shared" si="35"/>
        <v>0</v>
      </c>
      <c r="Z47" s="66">
        <f t="shared" si="36"/>
        <v>0</v>
      </c>
      <c r="AA47" s="27">
        <v>0</v>
      </c>
      <c r="AB47" s="27">
        <v>0</v>
      </c>
      <c r="AC47" s="28">
        <v>0</v>
      </c>
      <c r="AD47" s="29">
        <f t="shared" si="37"/>
        <v>0</v>
      </c>
      <c r="AE47" s="65">
        <f t="shared" si="16"/>
        <v>0</v>
      </c>
      <c r="AF47" s="27">
        <v>0</v>
      </c>
      <c r="AG47" s="27">
        <v>0</v>
      </c>
      <c r="AH47" s="28">
        <v>0</v>
      </c>
      <c r="AI47" s="26">
        <f t="shared" si="38"/>
        <v>0</v>
      </c>
      <c r="AJ47" s="65">
        <f t="shared" si="17"/>
        <v>0</v>
      </c>
      <c r="AK47" s="27">
        <v>0</v>
      </c>
      <c r="AL47" s="27"/>
      <c r="AM47" s="28">
        <v>0</v>
      </c>
      <c r="AN47" s="26">
        <f t="shared" si="18"/>
        <v>0</v>
      </c>
      <c r="AO47" s="65">
        <f t="shared" si="19"/>
        <v>0</v>
      </c>
      <c r="AP47" s="27">
        <v>0</v>
      </c>
      <c r="AQ47" s="27"/>
      <c r="AR47" s="28">
        <v>0</v>
      </c>
      <c r="AS47" s="26">
        <f t="shared" si="39"/>
        <v>0</v>
      </c>
      <c r="AT47" s="65">
        <f t="shared" si="20"/>
        <v>0</v>
      </c>
      <c r="AU47" s="27">
        <v>0</v>
      </c>
      <c r="AV47" s="27">
        <v>0</v>
      </c>
      <c r="AW47" s="28">
        <v>0</v>
      </c>
      <c r="AX47" s="111">
        <f t="shared" si="40"/>
        <v>0</v>
      </c>
      <c r="AY47" s="65">
        <f t="shared" si="21"/>
        <v>0</v>
      </c>
      <c r="AZ47" s="27">
        <v>0</v>
      </c>
      <c r="BA47" s="27">
        <v>0</v>
      </c>
      <c r="BB47" s="28">
        <v>0</v>
      </c>
      <c r="BC47" s="26">
        <f t="shared" si="41"/>
        <v>0</v>
      </c>
      <c r="BD47" s="65">
        <f t="shared" si="22"/>
        <v>0</v>
      </c>
      <c r="BE47" s="27">
        <v>0</v>
      </c>
      <c r="BF47" s="27">
        <v>0</v>
      </c>
      <c r="BG47" s="28">
        <v>0</v>
      </c>
      <c r="BH47" s="26">
        <f t="shared" si="42"/>
        <v>0</v>
      </c>
      <c r="BI47" s="65">
        <f t="shared" si="23"/>
        <v>0</v>
      </c>
      <c r="BJ47" s="4" t="s">
        <v>10</v>
      </c>
      <c r="BK47" s="1"/>
      <c r="BL47" s="1"/>
      <c r="BM47" s="1"/>
      <c r="BN47" s="1"/>
    </row>
    <row r="48" spans="1:66">
      <c r="A48" s="4" t="s">
        <v>11</v>
      </c>
      <c r="B48" s="22">
        <v>246</v>
      </c>
      <c r="C48" s="27">
        <v>0</v>
      </c>
      <c r="D48" s="23">
        <v>54</v>
      </c>
      <c r="E48" s="24">
        <f t="shared" si="15"/>
        <v>171</v>
      </c>
      <c r="F48" s="65">
        <f t="shared" si="24"/>
        <v>129</v>
      </c>
      <c r="G48" s="24">
        <f t="shared" si="25"/>
        <v>171</v>
      </c>
      <c r="H48" s="27">
        <v>0</v>
      </c>
      <c r="I48" s="23">
        <v>8</v>
      </c>
      <c r="J48" s="24">
        <f t="shared" si="26"/>
        <v>148</v>
      </c>
      <c r="K48" s="65">
        <f t="shared" si="27"/>
        <v>31</v>
      </c>
      <c r="L48" s="22">
        <f t="shared" si="28"/>
        <v>148</v>
      </c>
      <c r="M48" s="27">
        <v>68.05</v>
      </c>
      <c r="N48" s="25">
        <v>38</v>
      </c>
      <c r="O48" s="26">
        <f t="shared" si="29"/>
        <v>124</v>
      </c>
      <c r="P48" s="65">
        <f t="shared" si="30"/>
        <v>130.05000000000001</v>
      </c>
      <c r="Q48" s="22">
        <f t="shared" si="31"/>
        <v>124</v>
      </c>
      <c r="R48" s="27">
        <v>54.44</v>
      </c>
      <c r="S48" s="25">
        <v>48</v>
      </c>
      <c r="T48" s="26">
        <f t="shared" si="32"/>
        <v>134</v>
      </c>
      <c r="U48" s="66">
        <f t="shared" si="33"/>
        <v>92.44</v>
      </c>
      <c r="V48" s="22">
        <f t="shared" si="34"/>
        <v>134</v>
      </c>
      <c r="W48" s="27">
        <v>0</v>
      </c>
      <c r="X48" s="25">
        <v>64</v>
      </c>
      <c r="Y48" s="26">
        <f t="shared" si="35"/>
        <v>146</v>
      </c>
      <c r="Z48" s="66">
        <f t="shared" si="36"/>
        <v>52</v>
      </c>
      <c r="AA48" s="27">
        <v>146</v>
      </c>
      <c r="AB48" s="27">
        <v>0</v>
      </c>
      <c r="AC48" s="28">
        <v>62</v>
      </c>
      <c r="AD48" s="29">
        <f t="shared" si="37"/>
        <v>86</v>
      </c>
      <c r="AE48" s="65">
        <f t="shared" si="16"/>
        <v>122</v>
      </c>
      <c r="AF48" s="27">
        <v>86</v>
      </c>
      <c r="AG48" s="27">
        <v>168</v>
      </c>
      <c r="AH48" s="28">
        <v>17</v>
      </c>
      <c r="AI48" s="26">
        <f t="shared" si="38"/>
        <v>99</v>
      </c>
      <c r="AJ48" s="65">
        <f t="shared" si="17"/>
        <v>172</v>
      </c>
      <c r="AK48" s="27">
        <v>99</v>
      </c>
      <c r="AL48" s="27">
        <v>84</v>
      </c>
      <c r="AM48" s="28">
        <v>49</v>
      </c>
      <c r="AN48" s="26">
        <f t="shared" si="18"/>
        <v>109</v>
      </c>
      <c r="AO48" s="65">
        <f t="shared" si="19"/>
        <v>123</v>
      </c>
      <c r="AP48" s="27">
        <v>109</v>
      </c>
      <c r="AQ48" s="27">
        <v>168</v>
      </c>
      <c r="AR48" s="28">
        <v>3</v>
      </c>
      <c r="AS48" s="26">
        <f t="shared" si="39"/>
        <v>264</v>
      </c>
      <c r="AT48" s="65">
        <f t="shared" si="20"/>
        <v>16</v>
      </c>
      <c r="AU48" s="27">
        <v>264</v>
      </c>
      <c r="AV48" s="27">
        <v>168</v>
      </c>
      <c r="AW48" s="28">
        <v>110</v>
      </c>
      <c r="AX48" s="111">
        <f t="shared" si="40"/>
        <v>318</v>
      </c>
      <c r="AY48" s="65">
        <f t="shared" si="21"/>
        <v>224</v>
      </c>
      <c r="AZ48" s="27">
        <v>318</v>
      </c>
      <c r="BA48" s="27">
        <v>184</v>
      </c>
      <c r="BB48" s="28">
        <v>57</v>
      </c>
      <c r="BC48" s="26">
        <f t="shared" si="41"/>
        <v>267</v>
      </c>
      <c r="BD48" s="65">
        <f t="shared" si="22"/>
        <v>292</v>
      </c>
      <c r="BE48" s="27">
        <v>267</v>
      </c>
      <c r="BF48" s="27">
        <f>80+405.12</f>
        <v>485.12</v>
      </c>
      <c r="BG48" s="28">
        <v>57</v>
      </c>
      <c r="BH48" s="26">
        <f t="shared" si="42"/>
        <v>516</v>
      </c>
      <c r="BI48" s="65">
        <f t="shared" si="23"/>
        <v>293.12</v>
      </c>
      <c r="BJ48" s="4" t="s">
        <v>11</v>
      </c>
      <c r="BK48" s="1"/>
      <c r="BL48" s="1"/>
      <c r="BM48" s="1"/>
      <c r="BN48" s="1"/>
    </row>
    <row r="49" spans="1:66">
      <c r="A49" s="4" t="s">
        <v>12</v>
      </c>
      <c r="B49" s="22">
        <v>45</v>
      </c>
      <c r="C49" s="27">
        <v>0</v>
      </c>
      <c r="D49" s="23">
        <v>59</v>
      </c>
      <c r="E49" s="24">
        <f t="shared" si="15"/>
        <v>21</v>
      </c>
      <c r="F49" s="65">
        <f t="shared" si="24"/>
        <v>83</v>
      </c>
      <c r="G49" s="24">
        <f t="shared" si="25"/>
        <v>21</v>
      </c>
      <c r="H49" s="27">
        <v>0</v>
      </c>
      <c r="I49" s="23">
        <v>4</v>
      </c>
      <c r="J49" s="24">
        <f t="shared" si="26"/>
        <v>22</v>
      </c>
      <c r="K49" s="65">
        <f t="shared" si="27"/>
        <v>3</v>
      </c>
      <c r="L49" s="22">
        <f t="shared" si="28"/>
        <v>22</v>
      </c>
      <c r="M49" s="27">
        <v>0</v>
      </c>
      <c r="N49" s="25">
        <v>42</v>
      </c>
      <c r="O49" s="26">
        <f t="shared" si="29"/>
        <v>12</v>
      </c>
      <c r="P49" s="65">
        <f t="shared" si="30"/>
        <v>52</v>
      </c>
      <c r="Q49" s="22">
        <f t="shared" si="31"/>
        <v>12</v>
      </c>
      <c r="R49" s="27">
        <v>0</v>
      </c>
      <c r="S49" s="25">
        <v>93</v>
      </c>
      <c r="T49" s="26">
        <f t="shared" si="32"/>
        <v>41</v>
      </c>
      <c r="U49" s="66">
        <f t="shared" si="33"/>
        <v>64</v>
      </c>
      <c r="V49" s="22">
        <f t="shared" si="34"/>
        <v>41</v>
      </c>
      <c r="W49" s="27">
        <v>50</v>
      </c>
      <c r="X49" s="25">
        <v>57</v>
      </c>
      <c r="Y49" s="26">
        <f t="shared" si="35"/>
        <v>47</v>
      </c>
      <c r="Z49" s="66">
        <f t="shared" si="36"/>
        <v>101</v>
      </c>
      <c r="AA49" s="27">
        <v>47</v>
      </c>
      <c r="AB49" s="27">
        <v>0</v>
      </c>
      <c r="AC49" s="28">
        <v>66</v>
      </c>
      <c r="AD49" s="29">
        <f t="shared" si="37"/>
        <v>98</v>
      </c>
      <c r="AE49" s="65">
        <f t="shared" si="16"/>
        <v>15</v>
      </c>
      <c r="AF49" s="27">
        <v>98</v>
      </c>
      <c r="AG49" s="27">
        <v>0</v>
      </c>
      <c r="AH49" s="28">
        <v>32</v>
      </c>
      <c r="AI49" s="26">
        <f t="shared" si="38"/>
        <v>17</v>
      </c>
      <c r="AJ49" s="65">
        <f t="shared" si="17"/>
        <v>113</v>
      </c>
      <c r="AK49" s="27">
        <v>17</v>
      </c>
      <c r="AL49" s="27"/>
      <c r="AM49" s="28">
        <v>75</v>
      </c>
      <c r="AN49" s="26">
        <f t="shared" si="18"/>
        <v>90</v>
      </c>
      <c r="AO49" s="65">
        <f t="shared" si="19"/>
        <v>2</v>
      </c>
      <c r="AP49" s="27">
        <v>90</v>
      </c>
      <c r="AQ49" s="27">
        <v>60</v>
      </c>
      <c r="AR49" s="28">
        <v>2</v>
      </c>
      <c r="AS49" s="26">
        <f t="shared" si="39"/>
        <v>23</v>
      </c>
      <c r="AT49" s="65">
        <f t="shared" si="20"/>
        <v>129</v>
      </c>
      <c r="AU49" s="27">
        <v>23</v>
      </c>
      <c r="AV49" s="27">
        <v>120</v>
      </c>
      <c r="AW49" s="28">
        <v>162</v>
      </c>
      <c r="AX49" s="111">
        <f t="shared" si="40"/>
        <v>163</v>
      </c>
      <c r="AY49" s="65">
        <f t="shared" si="21"/>
        <v>142</v>
      </c>
      <c r="AZ49" s="27">
        <v>163</v>
      </c>
      <c r="BA49" s="27">
        <v>180</v>
      </c>
      <c r="BB49" s="28">
        <v>15</v>
      </c>
      <c r="BC49" s="26">
        <f t="shared" si="41"/>
        <v>150</v>
      </c>
      <c r="BD49" s="65">
        <f t="shared" si="22"/>
        <v>208</v>
      </c>
      <c r="BE49" s="27">
        <v>150</v>
      </c>
      <c r="BF49" s="27">
        <v>40</v>
      </c>
      <c r="BG49" s="28">
        <v>15</v>
      </c>
      <c r="BH49" s="26">
        <f t="shared" si="42"/>
        <v>132</v>
      </c>
      <c r="BI49" s="65">
        <f t="shared" si="23"/>
        <v>73</v>
      </c>
      <c r="BJ49" s="4" t="s">
        <v>12</v>
      </c>
      <c r="BK49" s="1"/>
      <c r="BL49" s="1"/>
      <c r="BM49" s="1"/>
      <c r="BN49" s="1"/>
    </row>
    <row r="50" spans="1:66">
      <c r="A50" s="4" t="s">
        <v>13</v>
      </c>
      <c r="B50" s="22">
        <v>210</v>
      </c>
      <c r="C50" s="27">
        <v>149.19999999999999</v>
      </c>
      <c r="D50" s="23">
        <v>62.800000000000004</v>
      </c>
      <c r="E50" s="24">
        <f t="shared" si="15"/>
        <v>282.40000000000003</v>
      </c>
      <c r="F50" s="65">
        <f t="shared" si="24"/>
        <v>139.59999999999997</v>
      </c>
      <c r="G50" s="24">
        <f t="shared" si="25"/>
        <v>282.40000000000003</v>
      </c>
      <c r="H50" s="27">
        <v>0</v>
      </c>
      <c r="I50" s="23">
        <v>8.4</v>
      </c>
      <c r="J50" s="24">
        <f t="shared" si="26"/>
        <v>145.60000000000002</v>
      </c>
      <c r="K50" s="65">
        <f t="shared" si="27"/>
        <v>145.19999999999999</v>
      </c>
      <c r="L50" s="22">
        <f t="shared" si="28"/>
        <v>145.60000000000002</v>
      </c>
      <c r="M50" s="27">
        <v>0</v>
      </c>
      <c r="N50" s="25">
        <v>48</v>
      </c>
      <c r="O50" s="26">
        <f t="shared" si="29"/>
        <v>79.600000000000009</v>
      </c>
      <c r="P50" s="65">
        <f t="shared" si="30"/>
        <v>114.00000000000001</v>
      </c>
      <c r="Q50" s="22">
        <f t="shared" si="31"/>
        <v>79.600000000000009</v>
      </c>
      <c r="R50" s="27">
        <v>0</v>
      </c>
      <c r="S50" s="25">
        <v>79.600000000000009</v>
      </c>
      <c r="T50" s="26">
        <f t="shared" si="32"/>
        <v>105.2</v>
      </c>
      <c r="U50" s="66">
        <f t="shared" si="33"/>
        <v>54.000000000000014</v>
      </c>
      <c r="V50" s="22">
        <f t="shared" si="34"/>
        <v>105.2</v>
      </c>
      <c r="W50" s="27">
        <f>48+48+31.2</f>
        <v>127.2</v>
      </c>
      <c r="X50" s="25">
        <v>72.8</v>
      </c>
      <c r="Y50" s="26">
        <f t="shared" si="35"/>
        <v>175.60000000000002</v>
      </c>
      <c r="Z50" s="66">
        <f t="shared" si="36"/>
        <v>129.59999999999997</v>
      </c>
      <c r="AA50" s="27">
        <v>175.60000000000002</v>
      </c>
      <c r="AB50" s="27">
        <v>124.8</v>
      </c>
      <c r="AC50" s="28">
        <v>33.6</v>
      </c>
      <c r="AD50" s="29">
        <f t="shared" si="37"/>
        <v>202.00000000000003</v>
      </c>
      <c r="AE50" s="65">
        <f t="shared" si="16"/>
        <v>132.00000000000003</v>
      </c>
      <c r="AF50" s="27">
        <v>202.00000000000003</v>
      </c>
      <c r="AG50" s="27">
        <v>230.4</v>
      </c>
      <c r="AH50" s="28">
        <v>24</v>
      </c>
      <c r="AI50" s="26">
        <f t="shared" si="38"/>
        <v>304</v>
      </c>
      <c r="AJ50" s="65">
        <f t="shared" si="17"/>
        <v>152.40000000000003</v>
      </c>
      <c r="AK50" s="27">
        <v>304</v>
      </c>
      <c r="AL50" s="27">
        <v>76.8</v>
      </c>
      <c r="AM50" s="28">
        <v>16.8</v>
      </c>
      <c r="AN50" s="26">
        <f t="shared" si="18"/>
        <v>286.8</v>
      </c>
      <c r="AO50" s="65">
        <f t="shared" si="19"/>
        <v>110.80000000000001</v>
      </c>
      <c r="AP50" s="27">
        <v>286.8</v>
      </c>
      <c r="AQ50" s="27">
        <v>153.6</v>
      </c>
      <c r="AR50" s="28">
        <v>7.6000000000000005</v>
      </c>
      <c r="AS50" s="26">
        <f t="shared" si="39"/>
        <v>270.40000000000003</v>
      </c>
      <c r="AT50" s="65">
        <f t="shared" si="20"/>
        <v>177.59999999999997</v>
      </c>
      <c r="AU50" s="27">
        <v>270.40000000000003</v>
      </c>
      <c r="AV50" s="27">
        <v>153.6</v>
      </c>
      <c r="AW50" s="28">
        <v>88</v>
      </c>
      <c r="AX50" s="111">
        <f t="shared" si="40"/>
        <v>220.8</v>
      </c>
      <c r="AY50" s="65">
        <f t="shared" si="21"/>
        <v>291.2</v>
      </c>
      <c r="AZ50" s="27">
        <v>220.8</v>
      </c>
      <c r="BA50" s="27">
        <v>76.8</v>
      </c>
      <c r="BB50" s="28">
        <v>91.600000000000009</v>
      </c>
      <c r="BC50" s="26">
        <f t="shared" si="41"/>
        <v>198.8</v>
      </c>
      <c r="BD50" s="65">
        <f t="shared" si="22"/>
        <v>190.40000000000003</v>
      </c>
      <c r="BE50" s="27">
        <v>198.8</v>
      </c>
      <c r="BF50" s="27">
        <v>252</v>
      </c>
      <c r="BG50" s="28">
        <v>91.600000000000009</v>
      </c>
      <c r="BH50" s="26">
        <f t="shared" si="42"/>
        <v>305.20000000000005</v>
      </c>
      <c r="BI50" s="65">
        <f t="shared" si="23"/>
        <v>237.19999999999993</v>
      </c>
      <c r="BJ50" s="4" t="s">
        <v>13</v>
      </c>
      <c r="BK50" s="1"/>
      <c r="BL50" s="1"/>
      <c r="BM50" s="1"/>
      <c r="BN50" s="1"/>
    </row>
    <row r="51" spans="1:66">
      <c r="A51" s="4" t="s">
        <v>14</v>
      </c>
      <c r="B51" s="22">
        <v>30.099999999999998</v>
      </c>
      <c r="C51" s="27">
        <v>0</v>
      </c>
      <c r="D51" s="23">
        <v>35.699999999999996</v>
      </c>
      <c r="E51" s="24">
        <f t="shared" si="15"/>
        <v>59.499999999999993</v>
      </c>
      <c r="F51" s="65">
        <f t="shared" si="24"/>
        <v>6.3000000000000043</v>
      </c>
      <c r="G51" s="24">
        <f t="shared" si="25"/>
        <v>59.499999999999993</v>
      </c>
      <c r="H51" s="27">
        <v>0</v>
      </c>
      <c r="I51" s="23">
        <v>7.6999999999999993</v>
      </c>
      <c r="J51" s="24">
        <f t="shared" si="26"/>
        <v>42.699999999999996</v>
      </c>
      <c r="K51" s="65">
        <f t="shared" si="27"/>
        <v>24.499999999999993</v>
      </c>
      <c r="L51" s="22">
        <f t="shared" si="28"/>
        <v>42.699999999999996</v>
      </c>
      <c r="M51" s="27">
        <v>28.8</v>
      </c>
      <c r="N51" s="25">
        <v>25.9</v>
      </c>
      <c r="O51" s="26">
        <f t="shared" si="29"/>
        <v>1.4</v>
      </c>
      <c r="P51" s="65">
        <f t="shared" si="30"/>
        <v>96</v>
      </c>
      <c r="Q51" s="22">
        <f t="shared" si="31"/>
        <v>1.4</v>
      </c>
      <c r="R51" s="27">
        <f>60+48</f>
        <v>108</v>
      </c>
      <c r="S51" s="25">
        <v>56</v>
      </c>
      <c r="T51" s="26">
        <f t="shared" si="32"/>
        <v>45.5</v>
      </c>
      <c r="U51" s="66">
        <f t="shared" si="33"/>
        <v>119.9</v>
      </c>
      <c r="V51" s="22">
        <f t="shared" si="34"/>
        <v>45.5</v>
      </c>
      <c r="W51" s="27">
        <v>0</v>
      </c>
      <c r="X51" s="25">
        <v>26.599999999999998</v>
      </c>
      <c r="Y51" s="26">
        <f t="shared" si="35"/>
        <v>67.199999999999989</v>
      </c>
      <c r="Z51" s="66">
        <f t="shared" si="36"/>
        <v>4.9000000000000057</v>
      </c>
      <c r="AA51" s="27">
        <v>67.199999999999989</v>
      </c>
      <c r="AB51" s="27">
        <v>0</v>
      </c>
      <c r="AC51" s="28">
        <v>18.2</v>
      </c>
      <c r="AD51" s="29">
        <f t="shared" si="37"/>
        <v>33.599999999999994</v>
      </c>
      <c r="AE51" s="65">
        <f t="shared" si="16"/>
        <v>51.8</v>
      </c>
      <c r="AF51" s="27">
        <v>33.599999999999994</v>
      </c>
      <c r="AG51" s="27">
        <v>0</v>
      </c>
      <c r="AH51" s="28">
        <v>11.2</v>
      </c>
      <c r="AI51" s="26">
        <f t="shared" si="38"/>
        <v>45.5</v>
      </c>
      <c r="AJ51" s="65">
        <f t="shared" si="17"/>
        <v>-0.70000000000000284</v>
      </c>
      <c r="AK51" s="27">
        <v>45.5</v>
      </c>
      <c r="AL51" s="27"/>
      <c r="AM51" s="28">
        <v>30.099999999999998</v>
      </c>
      <c r="AN51" s="26">
        <f t="shared" si="18"/>
        <v>75.599999999999994</v>
      </c>
      <c r="AO51" s="65">
        <f t="shared" si="19"/>
        <v>0</v>
      </c>
      <c r="AP51" s="27">
        <v>75.599999999999994</v>
      </c>
      <c r="AQ51" s="27"/>
      <c r="AR51" s="28">
        <v>11.2</v>
      </c>
      <c r="AS51" s="26">
        <f t="shared" si="39"/>
        <v>47.599999999999994</v>
      </c>
      <c r="AT51" s="65">
        <f t="shared" si="20"/>
        <v>39.200000000000003</v>
      </c>
      <c r="AU51" s="27">
        <v>47.599999999999994</v>
      </c>
      <c r="AV51" s="27">
        <v>0</v>
      </c>
      <c r="AW51" s="28">
        <v>37.799999999999997</v>
      </c>
      <c r="AX51" s="111">
        <f t="shared" si="40"/>
        <v>73.5</v>
      </c>
      <c r="AY51" s="65">
        <f t="shared" si="21"/>
        <v>11.899999999999991</v>
      </c>
      <c r="AZ51" s="27">
        <v>73.5</v>
      </c>
      <c r="BA51" s="27">
        <v>33.6</v>
      </c>
      <c r="BB51" s="28">
        <v>17.5</v>
      </c>
      <c r="BC51" s="26">
        <f t="shared" si="41"/>
        <v>58.099999999999994</v>
      </c>
      <c r="BD51" s="65">
        <f t="shared" si="22"/>
        <v>66.5</v>
      </c>
      <c r="BE51" s="27">
        <v>58.099999999999994</v>
      </c>
      <c r="BF51" s="27">
        <v>0</v>
      </c>
      <c r="BG51" s="28">
        <v>17.5</v>
      </c>
      <c r="BH51" s="26">
        <f t="shared" si="42"/>
        <v>32.199999999999996</v>
      </c>
      <c r="BI51" s="65">
        <f t="shared" si="23"/>
        <v>43.4</v>
      </c>
      <c r="BJ51" s="4" t="s">
        <v>14</v>
      </c>
      <c r="BK51" s="1"/>
      <c r="BL51" s="1"/>
      <c r="BM51" s="1"/>
      <c r="BN51" s="1"/>
    </row>
    <row r="52" spans="1:66">
      <c r="A52" s="4" t="s">
        <v>15</v>
      </c>
      <c r="B52" s="22">
        <v>162.80000000000001</v>
      </c>
      <c r="C52" s="27">
        <v>0</v>
      </c>
      <c r="D52" s="23">
        <v>83.600000000000009</v>
      </c>
      <c r="E52" s="24">
        <f t="shared" si="15"/>
        <v>67.600000000000009</v>
      </c>
      <c r="F52" s="65">
        <f t="shared" si="24"/>
        <v>178.8</v>
      </c>
      <c r="G52" s="24">
        <f t="shared" si="25"/>
        <v>67.600000000000009</v>
      </c>
      <c r="H52" s="27">
        <v>0</v>
      </c>
      <c r="I52" s="23">
        <v>6.8000000000000007</v>
      </c>
      <c r="J52" s="24">
        <f t="shared" si="26"/>
        <v>8.4</v>
      </c>
      <c r="K52" s="65">
        <f t="shared" si="27"/>
        <v>66</v>
      </c>
      <c r="L52" s="22">
        <f t="shared" si="28"/>
        <v>8.4</v>
      </c>
      <c r="M52" s="27">
        <v>0</v>
      </c>
      <c r="N52" s="25">
        <v>118.80000000000001</v>
      </c>
      <c r="O52" s="26">
        <f t="shared" si="29"/>
        <v>52.800000000000004</v>
      </c>
      <c r="P52" s="65">
        <f t="shared" si="30"/>
        <v>74.400000000000006</v>
      </c>
      <c r="Q52" s="22">
        <f t="shared" si="31"/>
        <v>52.800000000000004</v>
      </c>
      <c r="R52" s="27">
        <v>0</v>
      </c>
      <c r="S52" s="25">
        <v>320.8</v>
      </c>
      <c r="T52" s="26">
        <f t="shared" si="32"/>
        <v>184.8</v>
      </c>
      <c r="U52" s="66">
        <f t="shared" si="33"/>
        <v>188.8</v>
      </c>
      <c r="V52" s="22">
        <f t="shared" si="34"/>
        <v>184.8</v>
      </c>
      <c r="W52" s="27">
        <v>0</v>
      </c>
      <c r="X52" s="25">
        <v>106</v>
      </c>
      <c r="Y52" s="26">
        <f t="shared" si="35"/>
        <v>155.6</v>
      </c>
      <c r="Z52" s="66">
        <f t="shared" si="36"/>
        <v>135.20000000000002</v>
      </c>
      <c r="AA52" s="27">
        <v>155.6</v>
      </c>
      <c r="AB52" s="27">
        <v>105.6</v>
      </c>
      <c r="AC52" s="28">
        <v>98</v>
      </c>
      <c r="AD52" s="29">
        <f t="shared" si="37"/>
        <v>241.20000000000002</v>
      </c>
      <c r="AE52" s="65">
        <f t="shared" si="16"/>
        <v>117.99999999999997</v>
      </c>
      <c r="AF52" s="27">
        <v>241.20000000000002</v>
      </c>
      <c r="AG52" s="27">
        <f>230.4+66</f>
        <v>296.39999999999998</v>
      </c>
      <c r="AH52" s="28">
        <v>56.400000000000006</v>
      </c>
      <c r="AI52" s="26">
        <f t="shared" si="38"/>
        <v>253.60000000000002</v>
      </c>
      <c r="AJ52" s="65">
        <f t="shared" si="17"/>
        <v>340.4</v>
      </c>
      <c r="AK52" s="27">
        <v>253.60000000000002</v>
      </c>
      <c r="AL52" s="27">
        <v>40</v>
      </c>
      <c r="AM52" s="28">
        <v>112</v>
      </c>
      <c r="AN52" s="26">
        <f t="shared" si="18"/>
        <v>276.8</v>
      </c>
      <c r="AO52" s="65">
        <f t="shared" si="19"/>
        <v>128.80000000000001</v>
      </c>
      <c r="AP52" s="27">
        <v>276.8</v>
      </c>
      <c r="AQ52" s="27"/>
      <c r="AR52" s="28">
        <v>11.200000000000001</v>
      </c>
      <c r="AS52" s="26">
        <f t="shared" si="39"/>
        <v>187.20000000000002</v>
      </c>
      <c r="AT52" s="65">
        <f t="shared" si="20"/>
        <v>100.79999999999998</v>
      </c>
      <c r="AU52" s="27">
        <v>187.20000000000002</v>
      </c>
      <c r="AV52" s="27">
        <f>86.4+64</f>
        <v>150.4</v>
      </c>
      <c r="AW52" s="28">
        <v>165.20000000000002</v>
      </c>
      <c r="AX52" s="111">
        <f t="shared" si="40"/>
        <v>276.40000000000003</v>
      </c>
      <c r="AY52" s="65">
        <f t="shared" si="21"/>
        <v>226.40000000000003</v>
      </c>
      <c r="AZ52" s="27">
        <v>276.40000000000003</v>
      </c>
      <c r="BA52" s="27">
        <f>192+48.26</f>
        <v>240.26</v>
      </c>
      <c r="BB52" s="28">
        <v>151.6</v>
      </c>
      <c r="BC52" s="26">
        <f t="shared" si="41"/>
        <v>318</v>
      </c>
      <c r="BD52" s="65">
        <f t="shared" si="22"/>
        <v>350.2600000000001</v>
      </c>
      <c r="BE52" s="27">
        <v>318</v>
      </c>
      <c r="BF52" s="27">
        <f>134.4+288</f>
        <v>422.4</v>
      </c>
      <c r="BG52" s="28">
        <v>151.6</v>
      </c>
      <c r="BH52" s="26">
        <f t="shared" si="42"/>
        <v>469.6</v>
      </c>
      <c r="BI52" s="65">
        <f t="shared" si="23"/>
        <v>422.4</v>
      </c>
      <c r="BJ52" s="4" t="s">
        <v>15</v>
      </c>
      <c r="BK52" s="1"/>
      <c r="BL52" s="1"/>
      <c r="BM52" s="1"/>
      <c r="BN52" s="1"/>
    </row>
    <row r="53" spans="1:66">
      <c r="A53" s="21" t="s">
        <v>134</v>
      </c>
      <c r="B53" s="22">
        <v>0</v>
      </c>
      <c r="C53" s="22">
        <v>0</v>
      </c>
      <c r="D53" s="23">
        <v>0</v>
      </c>
      <c r="E53" s="24">
        <f t="shared" si="15"/>
        <v>0</v>
      </c>
      <c r="F53" s="65">
        <f t="shared" si="24"/>
        <v>0</v>
      </c>
      <c r="G53" s="24">
        <f t="shared" si="25"/>
        <v>0</v>
      </c>
      <c r="H53" s="22">
        <v>0</v>
      </c>
      <c r="I53" s="23">
        <v>0</v>
      </c>
      <c r="J53" s="24">
        <f t="shared" si="26"/>
        <v>0</v>
      </c>
      <c r="K53" s="65">
        <f t="shared" si="27"/>
        <v>0</v>
      </c>
      <c r="L53" s="22">
        <f t="shared" si="28"/>
        <v>0</v>
      </c>
      <c r="M53" s="22">
        <v>0</v>
      </c>
      <c r="N53" s="25">
        <v>0</v>
      </c>
      <c r="O53" s="26">
        <f t="shared" si="29"/>
        <v>0</v>
      </c>
      <c r="P53" s="65">
        <f t="shared" si="30"/>
        <v>0</v>
      </c>
      <c r="Q53" s="22">
        <f t="shared" si="31"/>
        <v>0</v>
      </c>
      <c r="R53" s="22">
        <v>0</v>
      </c>
      <c r="S53" s="25">
        <v>0</v>
      </c>
      <c r="T53" s="26">
        <f t="shared" si="32"/>
        <v>0</v>
      </c>
      <c r="U53" s="66">
        <f t="shared" si="33"/>
        <v>0</v>
      </c>
      <c r="V53" s="22">
        <f t="shared" si="34"/>
        <v>0</v>
      </c>
      <c r="W53" s="22">
        <v>0</v>
      </c>
      <c r="X53" s="25">
        <v>0</v>
      </c>
      <c r="Y53" s="26">
        <f t="shared" si="35"/>
        <v>0</v>
      </c>
      <c r="Z53" s="66">
        <f t="shared" si="36"/>
        <v>0</v>
      </c>
      <c r="AA53" s="27">
        <v>0</v>
      </c>
      <c r="AB53" s="27">
        <v>0</v>
      </c>
      <c r="AC53" s="28">
        <v>0</v>
      </c>
      <c r="AD53" s="29">
        <f t="shared" si="37"/>
        <v>0</v>
      </c>
      <c r="AE53" s="65">
        <f t="shared" si="16"/>
        <v>0</v>
      </c>
      <c r="AF53" s="27">
        <v>0</v>
      </c>
      <c r="AG53" s="27">
        <v>0</v>
      </c>
      <c r="AH53" s="28">
        <v>0</v>
      </c>
      <c r="AI53" s="26">
        <f t="shared" si="38"/>
        <v>0</v>
      </c>
      <c r="AJ53" s="65">
        <f t="shared" si="17"/>
        <v>0</v>
      </c>
      <c r="AK53" s="27">
        <v>0</v>
      </c>
      <c r="AL53" s="27">
        <f>76.8+6</f>
        <v>82.8</v>
      </c>
      <c r="AM53" s="28">
        <v>0</v>
      </c>
      <c r="AN53" s="26">
        <f t="shared" si="18"/>
        <v>94.4</v>
      </c>
      <c r="AO53" s="65">
        <f t="shared" si="19"/>
        <v>-11.600000000000009</v>
      </c>
      <c r="AP53" s="27">
        <v>94.4</v>
      </c>
      <c r="AQ53" s="27">
        <v>115.2</v>
      </c>
      <c r="AR53" s="28">
        <v>0</v>
      </c>
      <c r="AS53" s="26">
        <f t="shared" si="39"/>
        <v>0</v>
      </c>
      <c r="AT53" s="65">
        <f t="shared" si="20"/>
        <v>209.60000000000002</v>
      </c>
      <c r="AU53" s="27">
        <v>0</v>
      </c>
      <c r="AV53" s="27">
        <f>57.6+22.4</f>
        <v>80</v>
      </c>
      <c r="AW53" s="28">
        <v>0</v>
      </c>
      <c r="AX53" s="111">
        <f t="shared" si="40"/>
        <v>0</v>
      </c>
      <c r="AY53" s="65">
        <f t="shared" si="21"/>
        <v>80</v>
      </c>
      <c r="AZ53" s="27">
        <v>0</v>
      </c>
      <c r="BA53" s="27">
        <v>0</v>
      </c>
      <c r="BB53" s="28">
        <v>0</v>
      </c>
      <c r="BC53" s="26">
        <f t="shared" si="41"/>
        <v>0</v>
      </c>
      <c r="BD53" s="65">
        <f t="shared" si="22"/>
        <v>0</v>
      </c>
      <c r="BE53" s="27">
        <v>0</v>
      </c>
      <c r="BF53" s="27">
        <v>0</v>
      </c>
      <c r="BG53" s="28">
        <v>0</v>
      </c>
      <c r="BH53" s="26">
        <f t="shared" si="42"/>
        <v>0</v>
      </c>
      <c r="BI53" s="65">
        <f t="shared" si="23"/>
        <v>0</v>
      </c>
      <c r="BJ53" s="21" t="s">
        <v>134</v>
      </c>
      <c r="BK53" s="1"/>
      <c r="BL53" s="1"/>
      <c r="BM53" s="1"/>
      <c r="BN53" s="1"/>
    </row>
    <row r="54" spans="1:66">
      <c r="A54" s="15" t="s">
        <v>44</v>
      </c>
      <c r="B54" s="22">
        <v>69.28</v>
      </c>
      <c r="C54" s="22">
        <v>0</v>
      </c>
      <c r="D54" s="23">
        <v>2.08</v>
      </c>
      <c r="E54" s="24">
        <f t="shared" si="15"/>
        <v>56.64</v>
      </c>
      <c r="F54" s="65">
        <f t="shared" si="24"/>
        <v>14.719999999999999</v>
      </c>
      <c r="G54" s="24">
        <f t="shared" si="25"/>
        <v>56.64</v>
      </c>
      <c r="H54" s="22">
        <v>0</v>
      </c>
      <c r="I54" s="23">
        <v>0</v>
      </c>
      <c r="J54" s="24">
        <f t="shared" si="26"/>
        <v>18.880000000000003</v>
      </c>
      <c r="K54" s="65">
        <f t="shared" si="27"/>
        <v>37.76</v>
      </c>
      <c r="L54" s="22">
        <f t="shared" si="28"/>
        <v>18.880000000000003</v>
      </c>
      <c r="M54" s="22">
        <v>0</v>
      </c>
      <c r="N54" s="25">
        <v>2.2400000000000002</v>
      </c>
      <c r="O54" s="26">
        <f t="shared" si="29"/>
        <v>0</v>
      </c>
      <c r="P54" s="65">
        <f t="shared" si="30"/>
        <v>21.120000000000005</v>
      </c>
      <c r="Q54" s="22">
        <f t="shared" si="31"/>
        <v>0</v>
      </c>
      <c r="R54" s="22">
        <v>0</v>
      </c>
      <c r="S54" s="25">
        <v>30.72</v>
      </c>
      <c r="T54" s="26">
        <f t="shared" si="32"/>
        <v>24.96</v>
      </c>
      <c r="U54" s="66">
        <f t="shared" si="33"/>
        <v>5.759999999999998</v>
      </c>
      <c r="V54" s="22">
        <f t="shared" si="34"/>
        <v>24.96</v>
      </c>
      <c r="W54" s="22">
        <v>0</v>
      </c>
      <c r="X54" s="25">
        <v>4.16</v>
      </c>
      <c r="Y54" s="26">
        <f t="shared" si="35"/>
        <v>13.92</v>
      </c>
      <c r="Z54" s="66">
        <f t="shared" si="36"/>
        <v>15.200000000000001</v>
      </c>
      <c r="AA54" s="27">
        <v>13.92</v>
      </c>
      <c r="AB54" s="27">
        <v>0</v>
      </c>
      <c r="AC54" s="28">
        <v>1.92</v>
      </c>
      <c r="AD54" s="29">
        <f t="shared" si="37"/>
        <v>12.64</v>
      </c>
      <c r="AE54" s="65">
        <f t="shared" si="16"/>
        <v>3.1999999999999993</v>
      </c>
      <c r="AF54" s="27">
        <v>12.64</v>
      </c>
      <c r="AG54" s="27">
        <v>0</v>
      </c>
      <c r="AH54" s="28">
        <v>1.92</v>
      </c>
      <c r="AI54" s="26">
        <f t="shared" si="38"/>
        <v>9.92</v>
      </c>
      <c r="AJ54" s="65">
        <f t="shared" si="17"/>
        <v>4.6400000000000006</v>
      </c>
      <c r="AK54" s="27">
        <v>9.92</v>
      </c>
      <c r="AL54" s="27"/>
      <c r="AM54" s="28">
        <v>8.8000000000000007</v>
      </c>
      <c r="AN54" s="26">
        <f t="shared" si="18"/>
        <v>7.04</v>
      </c>
      <c r="AO54" s="65">
        <f t="shared" si="19"/>
        <v>11.68</v>
      </c>
      <c r="AP54" s="27">
        <v>7.04</v>
      </c>
      <c r="AQ54" s="27"/>
      <c r="AR54" s="28">
        <v>0</v>
      </c>
      <c r="AS54" s="26">
        <f t="shared" si="39"/>
        <v>3.52</v>
      </c>
      <c r="AT54" s="65">
        <f t="shared" si="20"/>
        <v>3.52</v>
      </c>
      <c r="AU54" s="27">
        <v>3.52</v>
      </c>
      <c r="AV54" s="27">
        <v>0</v>
      </c>
      <c r="AW54" s="28">
        <v>7.2</v>
      </c>
      <c r="AX54" s="111">
        <f t="shared" si="40"/>
        <v>7.68</v>
      </c>
      <c r="AY54" s="65">
        <f t="shared" si="21"/>
        <v>3.0400000000000009</v>
      </c>
      <c r="AZ54" s="27">
        <v>7.68</v>
      </c>
      <c r="BA54" s="27">
        <v>0</v>
      </c>
      <c r="BB54" s="28">
        <v>6.08</v>
      </c>
      <c r="BC54" s="26">
        <f t="shared" si="41"/>
        <v>6.5600000000000005</v>
      </c>
      <c r="BD54" s="65">
        <f t="shared" si="22"/>
        <v>7.1999999999999993</v>
      </c>
      <c r="BE54" s="27">
        <v>6.5600000000000005</v>
      </c>
      <c r="BF54" s="27">
        <v>182</v>
      </c>
      <c r="BG54" s="28">
        <v>6.08</v>
      </c>
      <c r="BH54" s="26">
        <f t="shared" si="42"/>
        <v>185.76000000000002</v>
      </c>
      <c r="BI54" s="65">
        <f t="shared" si="23"/>
        <v>8.8799999999999955</v>
      </c>
      <c r="BJ54" s="15" t="s">
        <v>44</v>
      </c>
      <c r="BK54" s="1"/>
      <c r="BL54" s="1"/>
      <c r="BM54" s="1"/>
      <c r="BN54" s="1"/>
    </row>
    <row r="55" spans="1:66">
      <c r="A55" s="4" t="s">
        <v>18</v>
      </c>
      <c r="B55" s="22">
        <v>24.119999999999997</v>
      </c>
      <c r="C55" s="27">
        <v>0</v>
      </c>
      <c r="D55" s="23">
        <v>21.48</v>
      </c>
      <c r="E55" s="24">
        <f t="shared" si="15"/>
        <v>29.759999999999998</v>
      </c>
      <c r="F55" s="65">
        <f t="shared" si="24"/>
        <v>15.839999999999996</v>
      </c>
      <c r="G55" s="24">
        <f t="shared" si="25"/>
        <v>29.759999999999998</v>
      </c>
      <c r="H55" s="27">
        <v>0</v>
      </c>
      <c r="I55" s="23">
        <v>2.52</v>
      </c>
      <c r="J55" s="24">
        <f t="shared" si="26"/>
        <v>19.32</v>
      </c>
      <c r="K55" s="65">
        <f t="shared" si="27"/>
        <v>12.96</v>
      </c>
      <c r="L55" s="22">
        <f t="shared" si="28"/>
        <v>19.32</v>
      </c>
      <c r="M55" s="27">
        <v>0</v>
      </c>
      <c r="N55" s="25">
        <v>16.32</v>
      </c>
      <c r="O55" s="26">
        <f t="shared" si="29"/>
        <v>26.04</v>
      </c>
      <c r="P55" s="65">
        <f t="shared" si="30"/>
        <v>9.6000000000000014</v>
      </c>
      <c r="Q55" s="22">
        <f t="shared" si="31"/>
        <v>26.04</v>
      </c>
      <c r="R55" s="27">
        <v>0</v>
      </c>
      <c r="S55" s="25">
        <v>9</v>
      </c>
      <c r="T55" s="26">
        <f t="shared" si="32"/>
        <v>16.439999999999998</v>
      </c>
      <c r="U55" s="66">
        <f t="shared" si="33"/>
        <v>18.600000000000001</v>
      </c>
      <c r="V55" s="22">
        <f t="shared" si="34"/>
        <v>16.439999999999998</v>
      </c>
      <c r="W55" s="27">
        <v>0</v>
      </c>
      <c r="X55" s="25">
        <v>19.68</v>
      </c>
      <c r="Y55" s="26">
        <f t="shared" si="35"/>
        <v>28.56</v>
      </c>
      <c r="Z55" s="66">
        <f t="shared" si="36"/>
        <v>7.5599999999999987</v>
      </c>
      <c r="AA55" s="27">
        <v>28.56</v>
      </c>
      <c r="AB55" s="27">
        <v>0</v>
      </c>
      <c r="AC55" s="28">
        <v>21.96</v>
      </c>
      <c r="AD55" s="29">
        <f t="shared" si="37"/>
        <v>24.72</v>
      </c>
      <c r="AE55" s="65">
        <f t="shared" si="16"/>
        <v>25.799999999999997</v>
      </c>
      <c r="AF55" s="27">
        <v>24.72</v>
      </c>
      <c r="AG55" s="27">
        <v>0</v>
      </c>
      <c r="AH55" s="28">
        <v>15.6</v>
      </c>
      <c r="AI55" s="26">
        <f t="shared" si="38"/>
        <v>16.68</v>
      </c>
      <c r="AJ55" s="65">
        <f t="shared" si="17"/>
        <v>23.64</v>
      </c>
      <c r="AK55" s="27">
        <v>16.68</v>
      </c>
      <c r="AL55" s="27"/>
      <c r="AM55" s="28">
        <v>13.08</v>
      </c>
      <c r="AN55" s="26">
        <f t="shared" si="18"/>
        <v>18.36</v>
      </c>
      <c r="AO55" s="65">
        <f t="shared" si="19"/>
        <v>11.399999999999999</v>
      </c>
      <c r="AP55" s="27">
        <v>18.36</v>
      </c>
      <c r="AQ55" s="27"/>
      <c r="AR55" s="28">
        <v>2.52</v>
      </c>
      <c r="AS55" s="26">
        <f t="shared" si="39"/>
        <v>17.759999999999998</v>
      </c>
      <c r="AT55" s="65">
        <f t="shared" si="20"/>
        <v>3.120000000000001</v>
      </c>
      <c r="AU55" s="27">
        <v>17.759999999999998</v>
      </c>
      <c r="AV55" s="27">
        <v>0</v>
      </c>
      <c r="AW55" s="28">
        <v>34.32</v>
      </c>
      <c r="AX55" s="111">
        <f t="shared" si="40"/>
        <v>23.52</v>
      </c>
      <c r="AY55" s="65">
        <f t="shared" si="21"/>
        <v>28.56</v>
      </c>
      <c r="AZ55" s="27">
        <v>23.52</v>
      </c>
      <c r="BA55" s="27">
        <v>0</v>
      </c>
      <c r="BB55" s="28">
        <v>12.959999999999999</v>
      </c>
      <c r="BC55" s="26">
        <f t="shared" si="41"/>
        <v>18.84</v>
      </c>
      <c r="BD55" s="65">
        <f t="shared" si="22"/>
        <v>17.639999999999997</v>
      </c>
      <c r="BE55" s="27">
        <v>18.84</v>
      </c>
      <c r="BF55" s="27">
        <v>0</v>
      </c>
      <c r="BG55" s="28">
        <v>12.959999999999999</v>
      </c>
      <c r="BH55" s="26">
        <f t="shared" si="42"/>
        <v>7.3199999999999994</v>
      </c>
      <c r="BI55" s="65">
        <f t="shared" si="23"/>
        <v>24.479999999999997</v>
      </c>
      <c r="BJ55" s="4" t="s">
        <v>18</v>
      </c>
      <c r="BK55" s="1"/>
      <c r="BL55" s="1"/>
      <c r="BM55" s="1"/>
      <c r="BN55" s="1"/>
    </row>
    <row r="56" spans="1:66">
      <c r="A56" s="4" t="s">
        <v>19</v>
      </c>
      <c r="B56" s="22">
        <v>35.200000000000003</v>
      </c>
      <c r="C56" s="27">
        <v>0</v>
      </c>
      <c r="D56" s="23">
        <v>10.4</v>
      </c>
      <c r="E56" s="24">
        <f t="shared" si="15"/>
        <v>30.8</v>
      </c>
      <c r="F56" s="65">
        <f t="shared" si="24"/>
        <v>14.8</v>
      </c>
      <c r="G56" s="24">
        <f t="shared" si="25"/>
        <v>30.8</v>
      </c>
      <c r="H56" s="27">
        <v>0</v>
      </c>
      <c r="I56" s="23">
        <v>18</v>
      </c>
      <c r="J56" s="24">
        <f t="shared" si="26"/>
        <v>38.400000000000006</v>
      </c>
      <c r="K56" s="65">
        <f t="shared" si="27"/>
        <v>10.399999999999991</v>
      </c>
      <c r="L56" s="22">
        <f t="shared" si="28"/>
        <v>38.400000000000006</v>
      </c>
      <c r="M56" s="27">
        <v>0</v>
      </c>
      <c r="N56" s="25">
        <v>27.200000000000003</v>
      </c>
      <c r="O56" s="26">
        <f t="shared" si="29"/>
        <v>39.200000000000003</v>
      </c>
      <c r="P56" s="65">
        <f t="shared" si="30"/>
        <v>26.400000000000006</v>
      </c>
      <c r="Q56" s="22">
        <f t="shared" si="31"/>
        <v>39.200000000000003</v>
      </c>
      <c r="R56" s="27">
        <v>0</v>
      </c>
      <c r="S56" s="25">
        <v>14.8</v>
      </c>
      <c r="T56" s="26">
        <f t="shared" si="32"/>
        <v>34.800000000000004</v>
      </c>
      <c r="U56" s="66">
        <f t="shared" si="33"/>
        <v>19.199999999999996</v>
      </c>
      <c r="V56" s="22">
        <f t="shared" si="34"/>
        <v>34.800000000000004</v>
      </c>
      <c r="W56" s="27">
        <v>0</v>
      </c>
      <c r="X56" s="25">
        <v>28.400000000000002</v>
      </c>
      <c r="Y56" s="26">
        <f t="shared" si="35"/>
        <v>28.8</v>
      </c>
      <c r="Z56" s="66">
        <f t="shared" si="36"/>
        <v>34.400000000000006</v>
      </c>
      <c r="AA56" s="27">
        <v>28.8</v>
      </c>
      <c r="AB56" s="27">
        <v>0</v>
      </c>
      <c r="AC56" s="28">
        <v>21.6</v>
      </c>
      <c r="AD56" s="29">
        <f t="shared" si="37"/>
        <v>42.400000000000006</v>
      </c>
      <c r="AE56" s="65">
        <f t="shared" si="16"/>
        <v>8</v>
      </c>
      <c r="AF56" s="27">
        <v>42.400000000000006</v>
      </c>
      <c r="AG56" s="27">
        <v>0</v>
      </c>
      <c r="AH56" s="28">
        <v>14</v>
      </c>
      <c r="AI56" s="26">
        <f t="shared" si="38"/>
        <v>33.6</v>
      </c>
      <c r="AJ56" s="65">
        <f t="shared" si="17"/>
        <v>22.800000000000004</v>
      </c>
      <c r="AK56" s="27">
        <v>33.6</v>
      </c>
      <c r="AL56" s="27"/>
      <c r="AM56" s="28">
        <v>26.400000000000002</v>
      </c>
      <c r="AN56" s="26">
        <f t="shared" si="18"/>
        <v>19.200000000000003</v>
      </c>
      <c r="AO56" s="65">
        <f t="shared" si="19"/>
        <v>40.799999999999997</v>
      </c>
      <c r="AP56" s="27">
        <v>19.200000000000003</v>
      </c>
      <c r="AQ56" s="27"/>
      <c r="AR56" s="28">
        <v>8.4</v>
      </c>
      <c r="AS56" s="26">
        <f t="shared" si="39"/>
        <v>23.200000000000003</v>
      </c>
      <c r="AT56" s="65">
        <f t="shared" si="20"/>
        <v>4.3999999999999986</v>
      </c>
      <c r="AU56" s="27">
        <v>23.200000000000003</v>
      </c>
      <c r="AV56" s="27">
        <v>0</v>
      </c>
      <c r="AW56" s="28">
        <v>35.200000000000003</v>
      </c>
      <c r="AX56" s="111">
        <f t="shared" si="40"/>
        <v>28.8</v>
      </c>
      <c r="AY56" s="65">
        <f t="shared" si="21"/>
        <v>29.600000000000005</v>
      </c>
      <c r="AZ56" s="27">
        <v>28.8</v>
      </c>
      <c r="BA56" s="27">
        <v>0</v>
      </c>
      <c r="BB56" s="28">
        <v>7.2</v>
      </c>
      <c r="BC56" s="26">
        <f t="shared" si="41"/>
        <v>35.200000000000003</v>
      </c>
      <c r="BD56" s="65">
        <f t="shared" si="22"/>
        <v>0.79999999999999716</v>
      </c>
      <c r="BE56" s="27">
        <v>35.200000000000003</v>
      </c>
      <c r="BF56" s="27">
        <v>0</v>
      </c>
      <c r="BG56" s="28">
        <v>7.2</v>
      </c>
      <c r="BH56" s="26">
        <f t="shared" si="42"/>
        <v>28.400000000000002</v>
      </c>
      <c r="BI56" s="65">
        <f t="shared" si="23"/>
        <v>14.000000000000004</v>
      </c>
      <c r="BJ56" s="4" t="s">
        <v>19</v>
      </c>
      <c r="BK56" s="1"/>
      <c r="BL56" s="1"/>
      <c r="BM56" s="1"/>
      <c r="BN56" s="1"/>
    </row>
    <row r="57" spans="1:66">
      <c r="A57" s="4" t="s">
        <v>20</v>
      </c>
      <c r="B57" s="22">
        <v>60</v>
      </c>
      <c r="C57" s="27">
        <v>0</v>
      </c>
      <c r="D57" s="23">
        <v>0</v>
      </c>
      <c r="E57" s="24">
        <f t="shared" si="15"/>
        <v>60</v>
      </c>
      <c r="F57" s="65">
        <f t="shared" si="24"/>
        <v>0</v>
      </c>
      <c r="G57" s="24">
        <f t="shared" si="25"/>
        <v>60</v>
      </c>
      <c r="H57" s="27">
        <v>0</v>
      </c>
      <c r="I57" s="23">
        <v>0</v>
      </c>
      <c r="J57" s="24">
        <f t="shared" si="26"/>
        <v>60</v>
      </c>
      <c r="K57" s="65">
        <f t="shared" si="27"/>
        <v>0</v>
      </c>
      <c r="L57" s="22">
        <f t="shared" si="28"/>
        <v>60</v>
      </c>
      <c r="M57" s="27">
        <v>0</v>
      </c>
      <c r="N57" s="25">
        <v>0</v>
      </c>
      <c r="O57" s="26">
        <f t="shared" si="29"/>
        <v>60</v>
      </c>
      <c r="P57" s="65">
        <f t="shared" si="30"/>
        <v>0</v>
      </c>
      <c r="Q57" s="22">
        <f t="shared" si="31"/>
        <v>60</v>
      </c>
      <c r="R57" s="27">
        <v>0</v>
      </c>
      <c r="S57" s="25">
        <v>0</v>
      </c>
      <c r="T57" s="26">
        <f t="shared" si="32"/>
        <v>60</v>
      </c>
      <c r="U57" s="66">
        <f t="shared" si="33"/>
        <v>0</v>
      </c>
      <c r="V57" s="22">
        <f t="shared" si="34"/>
        <v>60</v>
      </c>
      <c r="W57" s="27">
        <v>0</v>
      </c>
      <c r="X57" s="25">
        <v>0</v>
      </c>
      <c r="Y57" s="26">
        <f t="shared" si="35"/>
        <v>60</v>
      </c>
      <c r="Z57" s="66">
        <f t="shared" si="36"/>
        <v>0</v>
      </c>
      <c r="AA57" s="27">
        <v>60</v>
      </c>
      <c r="AB57" s="27">
        <v>0</v>
      </c>
      <c r="AC57" s="28">
        <v>0</v>
      </c>
      <c r="AD57" s="29">
        <f t="shared" si="37"/>
        <v>0</v>
      </c>
      <c r="AE57" s="65">
        <f t="shared" si="16"/>
        <v>60</v>
      </c>
      <c r="AF57" s="27">
        <v>0</v>
      </c>
      <c r="AG57" s="27">
        <v>0</v>
      </c>
      <c r="AH57" s="28">
        <v>0</v>
      </c>
      <c r="AI57" s="26">
        <f t="shared" si="38"/>
        <v>0</v>
      </c>
      <c r="AJ57" s="65">
        <f t="shared" si="17"/>
        <v>0</v>
      </c>
      <c r="AK57" s="27">
        <v>0</v>
      </c>
      <c r="AL57" s="27"/>
      <c r="AM57" s="28">
        <v>0</v>
      </c>
      <c r="AN57" s="26">
        <f t="shared" si="18"/>
        <v>0</v>
      </c>
      <c r="AO57" s="65">
        <f t="shared" si="19"/>
        <v>0</v>
      </c>
      <c r="AP57" s="27">
        <v>0</v>
      </c>
      <c r="AQ57" s="27"/>
      <c r="AR57" s="28">
        <v>0</v>
      </c>
      <c r="AS57" s="26">
        <f t="shared" si="39"/>
        <v>0</v>
      </c>
      <c r="AT57" s="65">
        <f t="shared" si="20"/>
        <v>0</v>
      </c>
      <c r="AU57" s="27">
        <v>0</v>
      </c>
      <c r="AV57" s="27">
        <v>0</v>
      </c>
      <c r="AW57" s="28">
        <v>0</v>
      </c>
      <c r="AX57" s="111">
        <f t="shared" si="40"/>
        <v>0</v>
      </c>
      <c r="AY57" s="65">
        <f t="shared" si="21"/>
        <v>0</v>
      </c>
      <c r="AZ57" s="27">
        <v>0</v>
      </c>
      <c r="BA57" s="27">
        <v>0</v>
      </c>
      <c r="BB57" s="28">
        <v>0</v>
      </c>
      <c r="BC57" s="26">
        <f t="shared" si="41"/>
        <v>0</v>
      </c>
      <c r="BD57" s="65">
        <f t="shared" si="22"/>
        <v>0</v>
      </c>
      <c r="BE57" s="27">
        <v>0</v>
      </c>
      <c r="BF57" s="27">
        <v>0</v>
      </c>
      <c r="BG57" s="28">
        <v>0</v>
      </c>
      <c r="BH57" s="26">
        <f t="shared" si="42"/>
        <v>0</v>
      </c>
      <c r="BI57" s="65">
        <f t="shared" si="23"/>
        <v>0</v>
      </c>
      <c r="BJ57" s="4" t="s">
        <v>20</v>
      </c>
      <c r="BK57" s="1"/>
      <c r="BL57" s="1"/>
      <c r="BM57" s="1"/>
      <c r="BN57" s="1"/>
    </row>
    <row r="58" spans="1:66">
      <c r="A58" s="4" t="s">
        <v>21</v>
      </c>
      <c r="B58" s="22">
        <v>144</v>
      </c>
      <c r="C58" s="22">
        <v>0</v>
      </c>
      <c r="D58" s="23">
        <v>37</v>
      </c>
      <c r="E58" s="24">
        <f t="shared" si="15"/>
        <v>171</v>
      </c>
      <c r="F58" s="65">
        <f t="shared" si="24"/>
        <v>10</v>
      </c>
      <c r="G58" s="24">
        <f t="shared" si="25"/>
        <v>171</v>
      </c>
      <c r="H58" s="22">
        <v>60</v>
      </c>
      <c r="I58" s="23">
        <v>18</v>
      </c>
      <c r="J58" s="24">
        <f t="shared" si="26"/>
        <v>168</v>
      </c>
      <c r="K58" s="65">
        <f t="shared" si="27"/>
        <v>81</v>
      </c>
      <c r="L58" s="22">
        <f t="shared" si="28"/>
        <v>168</v>
      </c>
      <c r="M58" s="22">
        <v>60</v>
      </c>
      <c r="N58" s="25">
        <v>37</v>
      </c>
      <c r="O58" s="26">
        <f t="shared" si="29"/>
        <v>128</v>
      </c>
      <c r="P58" s="65">
        <f t="shared" si="30"/>
        <v>137</v>
      </c>
      <c r="Q58" s="22">
        <f t="shared" si="31"/>
        <v>128</v>
      </c>
      <c r="R58" s="22">
        <v>120</v>
      </c>
      <c r="S58" s="25">
        <v>39</v>
      </c>
      <c r="T58" s="26">
        <f t="shared" si="32"/>
        <v>154</v>
      </c>
      <c r="U58" s="66">
        <f t="shared" si="33"/>
        <v>133</v>
      </c>
      <c r="V58" s="22">
        <f t="shared" si="34"/>
        <v>154</v>
      </c>
      <c r="W58" s="22">
        <f>60+60</f>
        <v>120</v>
      </c>
      <c r="X58" s="25">
        <v>36</v>
      </c>
      <c r="Y58" s="26">
        <f t="shared" si="35"/>
        <v>225</v>
      </c>
      <c r="Z58" s="66">
        <f t="shared" si="36"/>
        <v>85</v>
      </c>
      <c r="AA58" s="27">
        <v>225</v>
      </c>
      <c r="AB58" s="27">
        <v>120</v>
      </c>
      <c r="AC58" s="28">
        <v>26</v>
      </c>
      <c r="AD58" s="29">
        <f t="shared" si="37"/>
        <v>271</v>
      </c>
      <c r="AE58" s="65">
        <f t="shared" si="16"/>
        <v>100</v>
      </c>
      <c r="AF58" s="27">
        <v>271</v>
      </c>
      <c r="AG58" s="27">
        <v>120</v>
      </c>
      <c r="AH58" s="28">
        <v>9</v>
      </c>
      <c r="AI58" s="26">
        <f t="shared" si="38"/>
        <v>235</v>
      </c>
      <c r="AJ58" s="65">
        <f t="shared" si="17"/>
        <v>165</v>
      </c>
      <c r="AK58" s="27">
        <v>235</v>
      </c>
      <c r="AL58" s="27"/>
      <c r="AM58" s="28">
        <v>43</v>
      </c>
      <c r="AN58" s="26">
        <f t="shared" si="18"/>
        <v>170</v>
      </c>
      <c r="AO58" s="65">
        <f t="shared" si="19"/>
        <v>108</v>
      </c>
      <c r="AP58" s="27">
        <v>170</v>
      </c>
      <c r="AQ58" s="27"/>
      <c r="AR58" s="28">
        <v>6</v>
      </c>
      <c r="AS58" s="26">
        <f t="shared" si="39"/>
        <v>92</v>
      </c>
      <c r="AT58" s="65">
        <f t="shared" si="20"/>
        <v>84</v>
      </c>
      <c r="AU58" s="27">
        <v>92</v>
      </c>
      <c r="AV58" s="27">
        <v>0</v>
      </c>
      <c r="AW58" s="28">
        <v>36</v>
      </c>
      <c r="AX58" s="111">
        <f t="shared" si="40"/>
        <v>79</v>
      </c>
      <c r="AY58" s="65">
        <f t="shared" si="21"/>
        <v>49</v>
      </c>
      <c r="AZ58" s="27">
        <v>79</v>
      </c>
      <c r="BA58" s="27">
        <v>0</v>
      </c>
      <c r="BB58" s="28">
        <v>52</v>
      </c>
      <c r="BC58" s="26">
        <f t="shared" si="41"/>
        <v>104</v>
      </c>
      <c r="BD58" s="65">
        <f t="shared" si="22"/>
        <v>27</v>
      </c>
      <c r="BE58" s="27">
        <v>104</v>
      </c>
      <c r="BF58" s="27">
        <v>168</v>
      </c>
      <c r="BG58" s="28">
        <v>52</v>
      </c>
      <c r="BH58" s="26">
        <f t="shared" si="42"/>
        <v>53</v>
      </c>
      <c r="BI58" s="65">
        <f t="shared" si="23"/>
        <v>271</v>
      </c>
      <c r="BJ58" s="4" t="s">
        <v>21</v>
      </c>
      <c r="BK58" s="1"/>
      <c r="BL58" s="1"/>
      <c r="BM58" s="1"/>
      <c r="BN58" s="1"/>
    </row>
    <row r="59" spans="1:66">
      <c r="A59" s="4" t="s">
        <v>22</v>
      </c>
      <c r="B59" s="22">
        <v>144</v>
      </c>
      <c r="C59" s="27">
        <v>0</v>
      </c>
      <c r="D59" s="23">
        <v>7</v>
      </c>
      <c r="E59" s="24">
        <f t="shared" si="15"/>
        <v>110</v>
      </c>
      <c r="F59" s="65">
        <f t="shared" si="24"/>
        <v>41</v>
      </c>
      <c r="G59" s="24">
        <f t="shared" si="25"/>
        <v>110</v>
      </c>
      <c r="H59" s="27">
        <v>0</v>
      </c>
      <c r="I59" s="23">
        <v>3</v>
      </c>
      <c r="J59" s="24">
        <f t="shared" si="26"/>
        <v>39</v>
      </c>
      <c r="K59" s="65">
        <f t="shared" si="27"/>
        <v>74</v>
      </c>
      <c r="L59" s="22">
        <f t="shared" si="28"/>
        <v>39</v>
      </c>
      <c r="M59" s="27">
        <v>0</v>
      </c>
      <c r="N59" s="25">
        <v>13</v>
      </c>
      <c r="O59" s="26">
        <f t="shared" si="29"/>
        <v>6</v>
      </c>
      <c r="P59" s="65">
        <f t="shared" si="30"/>
        <v>46</v>
      </c>
      <c r="Q59" s="22">
        <f t="shared" si="31"/>
        <v>6</v>
      </c>
      <c r="R59" s="27">
        <v>120</v>
      </c>
      <c r="S59" s="25">
        <v>52</v>
      </c>
      <c r="T59" s="26">
        <f t="shared" si="32"/>
        <v>66</v>
      </c>
      <c r="U59" s="66">
        <f t="shared" si="33"/>
        <v>112</v>
      </c>
      <c r="V59" s="22">
        <f t="shared" si="34"/>
        <v>66</v>
      </c>
      <c r="W59" s="27">
        <f>60+60</f>
        <v>120</v>
      </c>
      <c r="X59" s="25">
        <v>90</v>
      </c>
      <c r="Y59" s="26">
        <f t="shared" si="35"/>
        <v>135</v>
      </c>
      <c r="Z59" s="66">
        <f t="shared" si="36"/>
        <v>141</v>
      </c>
      <c r="AA59" s="27">
        <v>135</v>
      </c>
      <c r="AB59" s="27">
        <v>120</v>
      </c>
      <c r="AC59" s="28">
        <v>56</v>
      </c>
      <c r="AD59" s="29">
        <f t="shared" si="37"/>
        <v>132</v>
      </c>
      <c r="AE59" s="65">
        <f t="shared" si="16"/>
        <v>179</v>
      </c>
      <c r="AF59" s="27">
        <v>132</v>
      </c>
      <c r="AG59" s="27">
        <v>0</v>
      </c>
      <c r="AH59" s="28">
        <v>33</v>
      </c>
      <c r="AI59" s="26">
        <f t="shared" si="38"/>
        <v>99</v>
      </c>
      <c r="AJ59" s="65">
        <f t="shared" si="17"/>
        <v>66</v>
      </c>
      <c r="AK59" s="27">
        <v>99</v>
      </c>
      <c r="AL59" s="27"/>
      <c r="AM59" s="28">
        <v>43</v>
      </c>
      <c r="AN59" s="26">
        <f t="shared" si="18"/>
        <v>82</v>
      </c>
      <c r="AO59" s="65">
        <f t="shared" si="19"/>
        <v>60</v>
      </c>
      <c r="AP59" s="27">
        <v>82</v>
      </c>
      <c r="AQ59" s="27"/>
      <c r="AR59" s="28">
        <v>0</v>
      </c>
      <c r="AS59" s="26">
        <f t="shared" si="39"/>
        <v>51</v>
      </c>
      <c r="AT59" s="65">
        <f t="shared" si="20"/>
        <v>31</v>
      </c>
      <c r="AU59" s="27">
        <v>51</v>
      </c>
      <c r="AV59" s="27">
        <v>0</v>
      </c>
      <c r="AW59" s="28">
        <v>176</v>
      </c>
      <c r="AX59" s="111">
        <f t="shared" si="40"/>
        <v>119</v>
      </c>
      <c r="AY59" s="65">
        <f t="shared" si="21"/>
        <v>108</v>
      </c>
      <c r="AZ59" s="27">
        <v>119</v>
      </c>
      <c r="BA59" s="27">
        <v>0</v>
      </c>
      <c r="BB59" s="28">
        <v>16</v>
      </c>
      <c r="BC59" s="26">
        <f t="shared" si="41"/>
        <v>119</v>
      </c>
      <c r="BD59" s="65">
        <f t="shared" si="22"/>
        <v>16</v>
      </c>
      <c r="BE59" s="27">
        <v>119</v>
      </c>
      <c r="BF59" s="27">
        <v>46</v>
      </c>
      <c r="BG59" s="28">
        <v>16</v>
      </c>
      <c r="BH59" s="26">
        <f t="shared" si="42"/>
        <v>66</v>
      </c>
      <c r="BI59" s="65">
        <f t="shared" si="23"/>
        <v>115</v>
      </c>
      <c r="BJ59" s="4" t="s">
        <v>22</v>
      </c>
      <c r="BK59" s="1"/>
      <c r="BL59" s="1"/>
      <c r="BM59" s="1"/>
      <c r="BN59" s="1"/>
    </row>
    <row r="60" spans="1:66">
      <c r="A60" s="4" t="s">
        <v>23</v>
      </c>
      <c r="B60" s="22">
        <v>183.5</v>
      </c>
      <c r="C60" s="27">
        <v>0</v>
      </c>
      <c r="D60" s="23">
        <v>6.75</v>
      </c>
      <c r="E60" s="24">
        <f t="shared" si="15"/>
        <v>110.5</v>
      </c>
      <c r="F60" s="65">
        <f t="shared" si="24"/>
        <v>79.75</v>
      </c>
      <c r="G60" s="24">
        <f t="shared" si="25"/>
        <v>110.5</v>
      </c>
      <c r="H60" s="27">
        <v>30.25</v>
      </c>
      <c r="I60" s="23">
        <v>2.625</v>
      </c>
      <c r="J60" s="24">
        <f t="shared" si="26"/>
        <v>55.75</v>
      </c>
      <c r="K60" s="65">
        <f t="shared" si="27"/>
        <v>87.625</v>
      </c>
      <c r="L60" s="22">
        <f t="shared" si="28"/>
        <v>55.75</v>
      </c>
      <c r="M60" s="27">
        <v>0</v>
      </c>
      <c r="N60" s="25">
        <v>3.375</v>
      </c>
      <c r="O60" s="26">
        <f t="shared" si="29"/>
        <v>32.25</v>
      </c>
      <c r="P60" s="65">
        <f t="shared" si="30"/>
        <v>26.875</v>
      </c>
      <c r="Q60" s="22">
        <f t="shared" si="31"/>
        <v>32.25</v>
      </c>
      <c r="R60" s="27">
        <v>0</v>
      </c>
      <c r="S60" s="25">
        <v>27.37</v>
      </c>
      <c r="T60" s="26">
        <f t="shared" si="32"/>
        <v>60.75</v>
      </c>
      <c r="U60" s="66">
        <f t="shared" si="33"/>
        <v>-1.1299999999999955</v>
      </c>
      <c r="V60" s="22">
        <f t="shared" si="34"/>
        <v>60.75</v>
      </c>
      <c r="W60" s="27">
        <v>0</v>
      </c>
      <c r="X60" s="25">
        <v>8.25</v>
      </c>
      <c r="Y60" s="26">
        <f t="shared" si="35"/>
        <v>59</v>
      </c>
      <c r="Z60" s="66">
        <f t="shared" si="36"/>
        <v>10</v>
      </c>
      <c r="AA60" s="27">
        <v>73.25</v>
      </c>
      <c r="AB60" s="27">
        <v>0</v>
      </c>
      <c r="AC60" s="28">
        <v>2.25</v>
      </c>
      <c r="AD60" s="29">
        <f t="shared" si="37"/>
        <v>24.875</v>
      </c>
      <c r="AE60" s="65">
        <f t="shared" si="16"/>
        <v>50.625</v>
      </c>
      <c r="AF60" s="27">
        <v>24.875</v>
      </c>
      <c r="AG60" s="27">
        <v>0</v>
      </c>
      <c r="AH60" s="28">
        <v>3.25</v>
      </c>
      <c r="AI60" s="26">
        <f t="shared" si="38"/>
        <v>12.75</v>
      </c>
      <c r="AJ60" s="65">
        <f t="shared" si="17"/>
        <v>15.375</v>
      </c>
      <c r="AK60" s="27">
        <v>12.75</v>
      </c>
      <c r="AL60" s="27"/>
      <c r="AM60" s="28">
        <v>9.5</v>
      </c>
      <c r="AN60" s="26">
        <f t="shared" si="18"/>
        <v>12.625</v>
      </c>
      <c r="AO60" s="65">
        <f t="shared" si="19"/>
        <v>9.625</v>
      </c>
      <c r="AP60" s="27">
        <v>12.625</v>
      </c>
      <c r="AQ60" s="27">
        <f>47.52</f>
        <v>47.52</v>
      </c>
      <c r="AR60" s="28">
        <v>2</v>
      </c>
      <c r="AS60" s="26">
        <f t="shared" si="39"/>
        <v>10.5</v>
      </c>
      <c r="AT60" s="65">
        <f t="shared" si="20"/>
        <v>51.645000000000003</v>
      </c>
      <c r="AU60" s="27">
        <v>10.5</v>
      </c>
      <c r="AV60" s="27">
        <v>0</v>
      </c>
      <c r="AW60" s="28">
        <v>7.375</v>
      </c>
      <c r="AX60" s="111">
        <f t="shared" si="40"/>
        <v>8.625</v>
      </c>
      <c r="AY60" s="65">
        <f t="shared" si="21"/>
        <v>9.25</v>
      </c>
      <c r="AZ60" s="27">
        <v>8.625</v>
      </c>
      <c r="BA60" s="27">
        <v>0</v>
      </c>
      <c r="BB60" s="28">
        <v>9</v>
      </c>
      <c r="BC60" s="26">
        <f t="shared" si="41"/>
        <v>19.25</v>
      </c>
      <c r="BD60" s="65">
        <f t="shared" si="22"/>
        <v>-1.625</v>
      </c>
      <c r="BE60" s="27">
        <v>19.25</v>
      </c>
      <c r="BF60" s="27">
        <v>53.5</v>
      </c>
      <c r="BG60" s="28">
        <v>9</v>
      </c>
      <c r="BH60" s="26">
        <f t="shared" si="42"/>
        <v>25.5</v>
      </c>
      <c r="BI60" s="65">
        <f t="shared" si="23"/>
        <v>56.25</v>
      </c>
      <c r="BJ60" s="4" t="s">
        <v>23</v>
      </c>
      <c r="BK60" s="1"/>
      <c r="BL60" s="1"/>
      <c r="BM60" s="1"/>
      <c r="BN60" s="1"/>
    </row>
    <row r="61" spans="1:66">
      <c r="A61" s="4" t="s">
        <v>24</v>
      </c>
      <c r="B61" s="22">
        <v>15.4</v>
      </c>
      <c r="C61" s="27">
        <v>0</v>
      </c>
      <c r="D61" s="23">
        <v>2.2000000000000002</v>
      </c>
      <c r="E61" s="24">
        <f t="shared" si="15"/>
        <v>14.2</v>
      </c>
      <c r="F61" s="65">
        <f t="shared" si="24"/>
        <v>3.4000000000000021</v>
      </c>
      <c r="G61" s="24">
        <f t="shared" si="25"/>
        <v>14.2</v>
      </c>
      <c r="H61" s="27">
        <v>0</v>
      </c>
      <c r="I61" s="23">
        <v>1.4000000000000001</v>
      </c>
      <c r="J61" s="24">
        <f t="shared" si="26"/>
        <v>5.8000000000000007</v>
      </c>
      <c r="K61" s="65">
        <f t="shared" si="27"/>
        <v>9.7999999999999989</v>
      </c>
      <c r="L61" s="22">
        <f t="shared" si="28"/>
        <v>5.8000000000000007</v>
      </c>
      <c r="M61" s="27">
        <v>0</v>
      </c>
      <c r="N61" s="25">
        <v>1.8</v>
      </c>
      <c r="O61" s="26">
        <f t="shared" si="29"/>
        <v>2.8000000000000003</v>
      </c>
      <c r="P61" s="65">
        <f t="shared" si="30"/>
        <v>4.8000000000000007</v>
      </c>
      <c r="Q61" s="22">
        <f t="shared" si="31"/>
        <v>2.8000000000000003</v>
      </c>
      <c r="R61" s="27">
        <v>0</v>
      </c>
      <c r="S61" s="25">
        <v>2.6</v>
      </c>
      <c r="T61" s="26">
        <f t="shared" si="32"/>
        <v>2.8000000000000003</v>
      </c>
      <c r="U61" s="66">
        <f t="shared" si="33"/>
        <v>2.6</v>
      </c>
      <c r="V61" s="22">
        <f t="shared" si="34"/>
        <v>2.8000000000000003</v>
      </c>
      <c r="W61" s="27">
        <v>0</v>
      </c>
      <c r="X61" s="25">
        <v>3.2</v>
      </c>
      <c r="Y61" s="26">
        <f t="shared" si="35"/>
        <v>3.6</v>
      </c>
      <c r="Z61" s="66">
        <f t="shared" si="36"/>
        <v>2.4</v>
      </c>
      <c r="AA61" s="27">
        <v>3.6</v>
      </c>
      <c r="AB61" s="27">
        <v>0</v>
      </c>
      <c r="AC61" s="28">
        <v>0.60000000000000009</v>
      </c>
      <c r="AD61" s="29">
        <f t="shared" si="37"/>
        <v>1.8</v>
      </c>
      <c r="AE61" s="65">
        <f t="shared" si="16"/>
        <v>2.4000000000000004</v>
      </c>
      <c r="AF61" s="27">
        <v>25.8</v>
      </c>
      <c r="AG61" s="27">
        <v>0</v>
      </c>
      <c r="AH61" s="28">
        <v>1.2000000000000002</v>
      </c>
      <c r="AI61" s="26">
        <f t="shared" si="38"/>
        <v>0.4</v>
      </c>
      <c r="AJ61" s="65">
        <f t="shared" si="17"/>
        <v>26.6</v>
      </c>
      <c r="AK61" s="27">
        <v>0.4</v>
      </c>
      <c r="AL61" s="27">
        <v>24</v>
      </c>
      <c r="AM61" s="28">
        <v>1.2000000000000002</v>
      </c>
      <c r="AN61" s="26">
        <f t="shared" si="18"/>
        <v>1.6</v>
      </c>
      <c r="AO61" s="65">
        <f t="shared" si="19"/>
        <v>23.999999999999996</v>
      </c>
      <c r="AP61" s="27">
        <v>1.6</v>
      </c>
      <c r="AQ61" s="27"/>
      <c r="AR61" s="28">
        <v>1</v>
      </c>
      <c r="AS61" s="26">
        <f t="shared" si="39"/>
        <v>1.2000000000000002</v>
      </c>
      <c r="AT61" s="65">
        <f t="shared" si="20"/>
        <v>1.4</v>
      </c>
      <c r="AU61" s="27">
        <v>1.2000000000000002</v>
      </c>
      <c r="AV61" s="27">
        <v>0</v>
      </c>
      <c r="AW61" s="28">
        <v>2</v>
      </c>
      <c r="AX61" s="111">
        <f t="shared" si="40"/>
        <v>2</v>
      </c>
      <c r="AY61" s="65">
        <f t="shared" si="21"/>
        <v>1.2000000000000002</v>
      </c>
      <c r="AZ61" s="27">
        <v>2</v>
      </c>
      <c r="BA61" s="27">
        <v>0</v>
      </c>
      <c r="BB61" s="28">
        <v>3.8000000000000003</v>
      </c>
      <c r="BC61" s="26">
        <f t="shared" si="41"/>
        <v>6.2</v>
      </c>
      <c r="BD61" s="65">
        <f t="shared" si="22"/>
        <v>-0.39999999999999947</v>
      </c>
      <c r="BE61" s="27">
        <v>6.2</v>
      </c>
      <c r="BF61" s="27">
        <v>80</v>
      </c>
      <c r="BG61" s="28">
        <v>3.8000000000000003</v>
      </c>
      <c r="BH61" s="26">
        <f t="shared" si="42"/>
        <v>41.8</v>
      </c>
      <c r="BI61" s="65">
        <f t="shared" si="23"/>
        <v>48.2</v>
      </c>
      <c r="BJ61" s="4" t="s">
        <v>24</v>
      </c>
      <c r="BK61" s="1"/>
      <c r="BL61" s="1"/>
      <c r="BM61" s="1"/>
      <c r="BN61" s="1"/>
    </row>
    <row r="62" spans="1:66">
      <c r="A62" s="5" t="s">
        <v>25</v>
      </c>
      <c r="B62" s="22">
        <v>28.2</v>
      </c>
      <c r="C62" s="27">
        <v>0</v>
      </c>
      <c r="D62" s="23">
        <v>0</v>
      </c>
      <c r="E62" s="24">
        <f t="shared" si="15"/>
        <v>28.157360406091367</v>
      </c>
      <c r="F62" s="65">
        <f t="shared" si="24"/>
        <v>4.2639593908631923E-2</v>
      </c>
      <c r="G62" s="24">
        <f t="shared" si="25"/>
        <v>28.157360406091367</v>
      </c>
      <c r="H62" s="27">
        <v>0</v>
      </c>
      <c r="I62" s="23">
        <v>0</v>
      </c>
      <c r="J62" s="24">
        <f t="shared" si="26"/>
        <v>15.279187817258883</v>
      </c>
      <c r="K62" s="65">
        <f t="shared" si="27"/>
        <v>12.878172588832484</v>
      </c>
      <c r="L62" s="22">
        <f t="shared" si="28"/>
        <v>15.279187817258883</v>
      </c>
      <c r="M62" s="27">
        <v>0</v>
      </c>
      <c r="N62" s="25">
        <v>0</v>
      </c>
      <c r="O62" s="26">
        <f t="shared" si="29"/>
        <v>4.1472081218274113</v>
      </c>
      <c r="P62" s="65">
        <f t="shared" si="30"/>
        <v>11.131979695431472</v>
      </c>
      <c r="Q62" s="22">
        <f t="shared" si="31"/>
        <v>4.1472081218274113</v>
      </c>
      <c r="R62" s="27">
        <v>52.8</v>
      </c>
      <c r="S62" s="25">
        <v>1.9</v>
      </c>
      <c r="T62" s="26">
        <f t="shared" si="32"/>
        <v>44.09137055837563</v>
      </c>
      <c r="U62" s="66">
        <f t="shared" si="33"/>
        <v>14.755837563451777</v>
      </c>
      <c r="V62" s="22">
        <f t="shared" si="34"/>
        <v>44.09137055837563</v>
      </c>
      <c r="W62" s="27">
        <f>42.25+42.25</f>
        <v>84.5</v>
      </c>
      <c r="X62" s="25">
        <v>0</v>
      </c>
      <c r="Y62" s="26">
        <f t="shared" si="35"/>
        <v>36.72</v>
      </c>
      <c r="Z62" s="66">
        <f t="shared" si="36"/>
        <v>91.871370558375617</v>
      </c>
      <c r="AA62" s="27">
        <v>36.72</v>
      </c>
      <c r="AB62" s="27">
        <v>84.48</v>
      </c>
      <c r="AC62" s="28">
        <v>1.76</v>
      </c>
      <c r="AD62" s="29">
        <f t="shared" si="37"/>
        <v>30.48</v>
      </c>
      <c r="AE62" s="65">
        <f t="shared" si="16"/>
        <v>92.48</v>
      </c>
      <c r="AF62" s="27">
        <v>30.48</v>
      </c>
      <c r="AG62" s="27">
        <v>10.52</v>
      </c>
      <c r="AH62" s="28">
        <v>0</v>
      </c>
      <c r="AI62" s="26">
        <f t="shared" si="38"/>
        <v>0</v>
      </c>
      <c r="AJ62" s="65">
        <f t="shared" si="17"/>
        <v>41</v>
      </c>
      <c r="AK62" s="27">
        <v>0</v>
      </c>
      <c r="AL62" s="27"/>
      <c r="AM62" s="28">
        <v>1.76</v>
      </c>
      <c r="AN62" s="26">
        <f t="shared" si="18"/>
        <v>0.96</v>
      </c>
      <c r="AO62" s="65">
        <f t="shared" si="19"/>
        <v>0.8</v>
      </c>
      <c r="AP62" s="27">
        <v>0.96</v>
      </c>
      <c r="AQ62" s="27"/>
      <c r="AR62" s="28">
        <v>0.44</v>
      </c>
      <c r="AS62" s="26">
        <f t="shared" si="39"/>
        <v>0</v>
      </c>
      <c r="AT62" s="65">
        <f t="shared" si="20"/>
        <v>1.4</v>
      </c>
      <c r="AU62" s="27">
        <v>0</v>
      </c>
      <c r="AV62" s="27">
        <v>0</v>
      </c>
      <c r="AW62" s="28">
        <v>15.62</v>
      </c>
      <c r="AX62" s="111">
        <f t="shared" si="40"/>
        <v>8.52</v>
      </c>
      <c r="AY62" s="65">
        <f t="shared" si="21"/>
        <v>7.1</v>
      </c>
      <c r="AZ62" s="27">
        <v>8.52</v>
      </c>
      <c r="BA62" s="27">
        <v>0</v>
      </c>
      <c r="BB62" s="28">
        <v>1.32</v>
      </c>
      <c r="BC62" s="26">
        <f t="shared" si="41"/>
        <v>1.7999999999999998</v>
      </c>
      <c r="BD62" s="65">
        <f t="shared" si="22"/>
        <v>8.0399999999999991</v>
      </c>
      <c r="BE62" s="27">
        <v>1.7999999999999998</v>
      </c>
      <c r="BF62" s="27">
        <v>0</v>
      </c>
      <c r="BG62" s="28">
        <v>1.32</v>
      </c>
      <c r="BH62" s="26">
        <f t="shared" si="42"/>
        <v>0</v>
      </c>
      <c r="BI62" s="65">
        <f t="shared" si="23"/>
        <v>3.12</v>
      </c>
      <c r="BJ62" s="5" t="s">
        <v>25</v>
      </c>
      <c r="BK62" s="1"/>
      <c r="BL62" s="1"/>
      <c r="BM62" s="1"/>
      <c r="BN62" s="1"/>
    </row>
    <row r="63" spans="1:66">
      <c r="A63" s="6" t="s">
        <v>42</v>
      </c>
      <c r="B63" s="22">
        <v>0</v>
      </c>
      <c r="C63" s="22">
        <v>183.8</v>
      </c>
      <c r="D63" s="23">
        <v>0</v>
      </c>
      <c r="E63" s="24">
        <f t="shared" si="15"/>
        <v>0</v>
      </c>
      <c r="F63" s="65">
        <f t="shared" si="24"/>
        <v>183.8</v>
      </c>
      <c r="G63" s="24">
        <f t="shared" si="25"/>
        <v>0</v>
      </c>
      <c r="H63" s="22">
        <v>42</v>
      </c>
      <c r="I63" s="23">
        <v>0</v>
      </c>
      <c r="J63" s="24">
        <f t="shared" si="26"/>
        <v>0</v>
      </c>
      <c r="K63" s="65">
        <f t="shared" si="27"/>
        <v>42</v>
      </c>
      <c r="L63" s="22">
        <f t="shared" si="28"/>
        <v>0</v>
      </c>
      <c r="M63" s="22">
        <v>34.29</v>
      </c>
      <c r="N63" s="25">
        <v>0</v>
      </c>
      <c r="O63" s="26">
        <f t="shared" si="29"/>
        <v>0</v>
      </c>
      <c r="P63" s="65">
        <f t="shared" si="30"/>
        <v>34.29</v>
      </c>
      <c r="Q63" s="22">
        <f t="shared" si="31"/>
        <v>0</v>
      </c>
      <c r="R63" s="22">
        <v>0</v>
      </c>
      <c r="S63" s="25">
        <v>0</v>
      </c>
      <c r="T63" s="26">
        <f t="shared" si="32"/>
        <v>0</v>
      </c>
      <c r="U63" s="66">
        <f t="shared" si="33"/>
        <v>0</v>
      </c>
      <c r="V63" s="22">
        <f t="shared" si="34"/>
        <v>0</v>
      </c>
      <c r="W63" s="22">
        <v>12.71</v>
      </c>
      <c r="X63" s="25">
        <v>0</v>
      </c>
      <c r="Y63" s="26">
        <f t="shared" si="35"/>
        <v>0</v>
      </c>
      <c r="Z63" s="66">
        <f t="shared" si="36"/>
        <v>12.71</v>
      </c>
      <c r="AA63" s="27">
        <v>0</v>
      </c>
      <c r="AB63" s="27">
        <f>133.92+26.62</f>
        <v>160.54</v>
      </c>
      <c r="AC63" s="28">
        <v>0</v>
      </c>
      <c r="AD63" s="29">
        <f t="shared" si="37"/>
        <v>0</v>
      </c>
      <c r="AE63" s="65">
        <f t="shared" si="16"/>
        <v>160.54</v>
      </c>
      <c r="AF63" s="27">
        <v>0</v>
      </c>
      <c r="AG63" s="27">
        <v>0</v>
      </c>
      <c r="AH63" s="28">
        <v>0</v>
      </c>
      <c r="AI63" s="26">
        <f t="shared" si="38"/>
        <v>0</v>
      </c>
      <c r="AJ63" s="65">
        <f t="shared" si="17"/>
        <v>0</v>
      </c>
      <c r="AK63" s="27">
        <v>0</v>
      </c>
      <c r="AL63" s="27">
        <f>22.4+24</f>
        <v>46.4</v>
      </c>
      <c r="AM63" s="28">
        <v>0</v>
      </c>
      <c r="AN63" s="26">
        <f t="shared" si="18"/>
        <v>0</v>
      </c>
      <c r="AO63" s="65">
        <f t="shared" si="19"/>
        <v>46.4</v>
      </c>
      <c r="AP63" s="27">
        <v>0</v>
      </c>
      <c r="AQ63" s="27">
        <v>45.41</v>
      </c>
      <c r="AR63" s="28">
        <v>0</v>
      </c>
      <c r="AS63" s="26">
        <f t="shared" si="39"/>
        <v>0</v>
      </c>
      <c r="AT63" s="65">
        <f t="shared" si="20"/>
        <v>45.41</v>
      </c>
      <c r="AU63" s="27">
        <v>0</v>
      </c>
      <c r="AV63" s="27">
        <v>16.8</v>
      </c>
      <c r="AW63" s="28">
        <v>0</v>
      </c>
      <c r="AX63" s="111">
        <f t="shared" si="40"/>
        <v>0</v>
      </c>
      <c r="AY63" s="65">
        <f t="shared" si="21"/>
        <v>16.8</v>
      </c>
      <c r="AZ63" s="27">
        <v>0</v>
      </c>
      <c r="BA63" s="27">
        <v>119.28</v>
      </c>
      <c r="BB63" s="28">
        <v>0</v>
      </c>
      <c r="BC63" s="26">
        <f t="shared" si="41"/>
        <v>0</v>
      </c>
      <c r="BD63" s="65">
        <f t="shared" si="22"/>
        <v>119.28</v>
      </c>
      <c r="BE63" s="27">
        <v>0</v>
      </c>
      <c r="BF63" s="27">
        <v>29.44</v>
      </c>
      <c r="BG63" s="28">
        <v>0</v>
      </c>
      <c r="BH63" s="26">
        <f t="shared" si="42"/>
        <v>0</v>
      </c>
      <c r="BI63" s="65">
        <f t="shared" si="23"/>
        <v>29.44</v>
      </c>
      <c r="BJ63" s="6" t="s">
        <v>42</v>
      </c>
      <c r="BK63" s="1"/>
      <c r="BL63" s="1"/>
      <c r="BM63" s="1"/>
      <c r="BN63" s="1"/>
    </row>
    <row r="64" spans="1:66">
      <c r="A64" s="5" t="s">
        <v>27</v>
      </c>
      <c r="B64" s="22">
        <v>0.5</v>
      </c>
      <c r="C64" s="22">
        <v>0</v>
      </c>
      <c r="D64" s="23">
        <v>0.5</v>
      </c>
      <c r="E64" s="24">
        <f t="shared" si="15"/>
        <v>2.75</v>
      </c>
      <c r="F64" s="65">
        <f t="shared" si="24"/>
        <v>-1.75</v>
      </c>
      <c r="G64" s="24">
        <f t="shared" si="25"/>
        <v>2.75</v>
      </c>
      <c r="H64" s="22">
        <v>0</v>
      </c>
      <c r="I64" s="23">
        <v>2</v>
      </c>
      <c r="J64" s="24">
        <f t="shared" si="26"/>
        <v>5.5</v>
      </c>
      <c r="K64" s="65">
        <f t="shared" si="27"/>
        <v>-0.75</v>
      </c>
      <c r="L64" s="22">
        <f t="shared" si="28"/>
        <v>5.5</v>
      </c>
      <c r="M64" s="22">
        <v>0</v>
      </c>
      <c r="N64" s="25">
        <v>0</v>
      </c>
      <c r="O64" s="26">
        <f t="shared" si="29"/>
        <v>5.5</v>
      </c>
      <c r="P64" s="65">
        <f t="shared" si="30"/>
        <v>0</v>
      </c>
      <c r="Q64" s="22">
        <f t="shared" si="31"/>
        <v>5.5</v>
      </c>
      <c r="R64" s="22">
        <v>0</v>
      </c>
      <c r="S64" s="25">
        <v>0.25</v>
      </c>
      <c r="T64" s="26">
        <f t="shared" si="32"/>
        <v>0</v>
      </c>
      <c r="U64" s="66">
        <f t="shared" si="33"/>
        <v>5.75</v>
      </c>
      <c r="V64" s="22">
        <f t="shared" si="34"/>
        <v>0</v>
      </c>
      <c r="W64" s="22">
        <v>0</v>
      </c>
      <c r="X64" s="25">
        <v>3</v>
      </c>
      <c r="Y64" s="26">
        <f t="shared" si="35"/>
        <v>8</v>
      </c>
      <c r="Z64" s="66">
        <f t="shared" si="36"/>
        <v>-5</v>
      </c>
      <c r="AA64" s="27">
        <v>8</v>
      </c>
      <c r="AB64" s="27">
        <v>0</v>
      </c>
      <c r="AC64" s="28">
        <v>0.25</v>
      </c>
      <c r="AD64" s="29">
        <f t="shared" si="37"/>
        <v>7.75</v>
      </c>
      <c r="AE64" s="65">
        <f t="shared" si="16"/>
        <v>0.5</v>
      </c>
      <c r="AF64" s="27">
        <v>7.75</v>
      </c>
      <c r="AG64" s="27">
        <v>0</v>
      </c>
      <c r="AH64" s="28">
        <v>0</v>
      </c>
      <c r="AI64" s="26">
        <f t="shared" si="38"/>
        <v>7.5</v>
      </c>
      <c r="AJ64" s="65">
        <f t="shared" si="17"/>
        <v>0.25</v>
      </c>
      <c r="AK64" s="27">
        <v>7.5</v>
      </c>
      <c r="AL64" s="27"/>
      <c r="AM64" s="28">
        <v>1.25</v>
      </c>
      <c r="AN64" s="26">
        <f t="shared" si="18"/>
        <v>9.5</v>
      </c>
      <c r="AO64" s="65">
        <f t="shared" si="19"/>
        <v>-0.75</v>
      </c>
      <c r="AP64" s="27">
        <v>9.5</v>
      </c>
      <c r="AQ64" s="27"/>
      <c r="AR64" s="28">
        <v>0</v>
      </c>
      <c r="AS64" s="26">
        <f t="shared" si="39"/>
        <v>9.5</v>
      </c>
      <c r="AT64" s="65">
        <f t="shared" si="20"/>
        <v>0</v>
      </c>
      <c r="AU64" s="27">
        <v>9.5</v>
      </c>
      <c r="AV64" s="27">
        <v>0</v>
      </c>
      <c r="AW64" s="28">
        <v>1.75</v>
      </c>
      <c r="AX64" s="111">
        <f t="shared" si="40"/>
        <v>11</v>
      </c>
      <c r="AY64" s="65">
        <f t="shared" si="21"/>
        <v>0.25</v>
      </c>
      <c r="AZ64" s="27">
        <v>11</v>
      </c>
      <c r="BA64" s="27">
        <v>0</v>
      </c>
      <c r="BB64" s="28">
        <v>0.25</v>
      </c>
      <c r="BC64" s="26">
        <f t="shared" si="41"/>
        <v>8.75</v>
      </c>
      <c r="BD64" s="65">
        <f t="shared" si="22"/>
        <v>2.5</v>
      </c>
      <c r="BE64" s="27">
        <v>8.75</v>
      </c>
      <c r="BF64" s="27">
        <v>0</v>
      </c>
      <c r="BG64" s="28">
        <v>0.25</v>
      </c>
      <c r="BH64" s="26">
        <f t="shared" si="42"/>
        <v>0</v>
      </c>
      <c r="BI64" s="65">
        <f t="shared" si="23"/>
        <v>9</v>
      </c>
      <c r="BJ64" s="5" t="s">
        <v>27</v>
      </c>
      <c r="BK64" s="1"/>
      <c r="BL64" s="1"/>
      <c r="BM64" s="1"/>
      <c r="BN64" s="1"/>
    </row>
    <row r="65" spans="1:95">
      <c r="A65" s="5" t="s">
        <v>28</v>
      </c>
      <c r="B65" s="22">
        <v>110.75999999999999</v>
      </c>
      <c r="C65" s="27">
        <v>0</v>
      </c>
      <c r="D65" s="23">
        <v>10.92</v>
      </c>
      <c r="E65" s="24">
        <f t="shared" si="15"/>
        <v>26.91</v>
      </c>
      <c r="F65" s="65">
        <f t="shared" si="24"/>
        <v>94.77</v>
      </c>
      <c r="G65" s="24">
        <f t="shared" si="25"/>
        <v>26.91</v>
      </c>
      <c r="H65" s="27">
        <v>0</v>
      </c>
      <c r="I65" s="23">
        <v>27.9</v>
      </c>
      <c r="J65" s="24">
        <f t="shared" si="26"/>
        <v>9.36</v>
      </c>
      <c r="K65" s="65">
        <f t="shared" si="27"/>
        <v>45.45</v>
      </c>
      <c r="L65" s="22">
        <f t="shared" si="28"/>
        <v>9.36</v>
      </c>
      <c r="M65" s="27">
        <v>6.27</v>
      </c>
      <c r="N65" s="22">
        <v>9.36</v>
      </c>
      <c r="O65" s="26">
        <f t="shared" si="29"/>
        <v>10.530000000000001</v>
      </c>
      <c r="P65" s="65">
        <f t="shared" si="30"/>
        <v>14.459999999999997</v>
      </c>
      <c r="Q65" s="22">
        <f t="shared" si="31"/>
        <v>10.530000000000001</v>
      </c>
      <c r="R65" s="27">
        <v>24</v>
      </c>
      <c r="S65" s="22">
        <v>7.02</v>
      </c>
      <c r="T65" s="26">
        <f t="shared" si="32"/>
        <v>0</v>
      </c>
      <c r="U65" s="66">
        <f t="shared" si="33"/>
        <v>41.55</v>
      </c>
      <c r="V65" s="22">
        <f t="shared" si="34"/>
        <v>0</v>
      </c>
      <c r="W65" s="27">
        <v>5.76</v>
      </c>
      <c r="X65" s="22">
        <v>18.72</v>
      </c>
      <c r="Y65" s="26">
        <f>AM100</f>
        <v>9.36</v>
      </c>
      <c r="Z65" s="66">
        <f t="shared" si="36"/>
        <v>15.119999999999997</v>
      </c>
      <c r="AA65" s="27">
        <v>9.36</v>
      </c>
      <c r="AB65" s="27">
        <v>62.38</v>
      </c>
      <c r="AC65" s="27">
        <v>7.02</v>
      </c>
      <c r="AD65" s="29">
        <f t="shared" si="37"/>
        <v>8.58</v>
      </c>
      <c r="AE65" s="65">
        <f t="shared" si="16"/>
        <v>70.180000000000007</v>
      </c>
      <c r="AF65" s="27">
        <v>8.58</v>
      </c>
      <c r="AG65" s="27">
        <v>18</v>
      </c>
      <c r="AH65" s="27">
        <v>3.51</v>
      </c>
      <c r="AI65" s="26">
        <f t="shared" si="38"/>
        <v>4.68</v>
      </c>
      <c r="AJ65" s="65">
        <f t="shared" si="17"/>
        <v>25.409999999999997</v>
      </c>
      <c r="AK65" s="27">
        <v>4.68</v>
      </c>
      <c r="AL65" s="27"/>
      <c r="AM65" s="27">
        <v>5.07</v>
      </c>
      <c r="AN65" s="26">
        <f t="shared" si="18"/>
        <v>4.29</v>
      </c>
      <c r="AO65" s="65">
        <f t="shared" si="19"/>
        <v>5.46</v>
      </c>
      <c r="AP65" s="27">
        <v>4.29</v>
      </c>
      <c r="AQ65" s="27">
        <v>11.52</v>
      </c>
      <c r="AR65" s="27">
        <v>3.51</v>
      </c>
      <c r="AS65" s="26">
        <f t="shared" si="39"/>
        <v>4.68</v>
      </c>
      <c r="AT65" s="65">
        <f t="shared" si="20"/>
        <v>14.64</v>
      </c>
      <c r="AU65" s="27">
        <v>4.68</v>
      </c>
      <c r="AV65" s="27">
        <v>59.36</v>
      </c>
      <c r="AW65" s="27">
        <v>4.29</v>
      </c>
      <c r="AX65" s="111">
        <f t="shared" si="40"/>
        <v>6.24</v>
      </c>
      <c r="AY65" s="65">
        <f t="shared" si="21"/>
        <v>62.089999999999996</v>
      </c>
      <c r="AZ65" s="27">
        <v>6.24</v>
      </c>
      <c r="BA65" s="27">
        <v>24.38</v>
      </c>
      <c r="BB65" s="27">
        <v>9.07</v>
      </c>
      <c r="BC65" s="26">
        <f t="shared" si="41"/>
        <v>8.19</v>
      </c>
      <c r="BD65" s="65">
        <f t="shared" si="22"/>
        <v>31.5</v>
      </c>
      <c r="BE65" s="27">
        <v>8.19</v>
      </c>
      <c r="BF65" s="27">
        <v>152</v>
      </c>
      <c r="BG65" s="27">
        <v>4.68</v>
      </c>
      <c r="BH65" s="26">
        <f t="shared" si="42"/>
        <v>7.0200000000000005</v>
      </c>
      <c r="BI65" s="65">
        <f t="shared" si="23"/>
        <v>157.85</v>
      </c>
      <c r="BJ65" s="5" t="s">
        <v>28</v>
      </c>
      <c r="BK65" s="1"/>
      <c r="BL65" s="1"/>
      <c r="BM65" s="1"/>
      <c r="BN65" s="1"/>
    </row>
    <row r="66" spans="1:95">
      <c r="A66" s="6" t="s">
        <v>29</v>
      </c>
      <c r="B66" s="22"/>
      <c r="C66" s="22"/>
      <c r="D66" s="22"/>
      <c r="E66" s="24"/>
      <c r="F66" s="65">
        <f t="shared" si="24"/>
        <v>0</v>
      </c>
      <c r="G66" s="24">
        <f t="shared" si="25"/>
        <v>0</v>
      </c>
      <c r="H66" s="22"/>
      <c r="I66" s="22"/>
      <c r="J66" s="24"/>
      <c r="K66" s="65">
        <f t="shared" si="27"/>
        <v>0</v>
      </c>
      <c r="L66" s="22">
        <f t="shared" si="28"/>
        <v>0</v>
      </c>
      <c r="M66" s="22">
        <v>0</v>
      </c>
      <c r="N66" s="22"/>
      <c r="O66" s="26">
        <v>0</v>
      </c>
      <c r="P66" s="65">
        <f t="shared" si="30"/>
        <v>0</v>
      </c>
      <c r="Q66" s="22">
        <f t="shared" si="31"/>
        <v>0</v>
      </c>
      <c r="R66" s="22">
        <v>0</v>
      </c>
      <c r="S66" s="22">
        <v>0</v>
      </c>
      <c r="T66" s="26">
        <v>0</v>
      </c>
      <c r="U66" s="66">
        <f t="shared" si="33"/>
        <v>0</v>
      </c>
      <c r="V66" s="22">
        <f t="shared" si="34"/>
        <v>0</v>
      </c>
      <c r="W66" s="22">
        <v>0</v>
      </c>
      <c r="X66" s="22">
        <v>0</v>
      </c>
      <c r="Y66" s="26">
        <v>0</v>
      </c>
      <c r="Z66" s="66">
        <f t="shared" si="36"/>
        <v>0</v>
      </c>
      <c r="AA66" s="27">
        <v>0</v>
      </c>
      <c r="AB66" s="27">
        <v>0</v>
      </c>
      <c r="AC66" s="27">
        <v>0</v>
      </c>
      <c r="AD66" s="29">
        <v>0</v>
      </c>
      <c r="AE66" s="65">
        <f t="shared" si="16"/>
        <v>0</v>
      </c>
      <c r="AF66" s="27">
        <v>0</v>
      </c>
      <c r="AG66" s="27">
        <v>30</v>
      </c>
      <c r="AH66" s="27">
        <v>0</v>
      </c>
      <c r="AI66" s="26">
        <v>0</v>
      </c>
      <c r="AJ66" s="65">
        <f t="shared" si="17"/>
        <v>30</v>
      </c>
      <c r="AK66" s="27">
        <v>0</v>
      </c>
      <c r="AL66" s="27"/>
      <c r="AM66" s="27">
        <v>0</v>
      </c>
      <c r="AN66" s="26">
        <v>0</v>
      </c>
      <c r="AO66" s="65">
        <f t="shared" si="19"/>
        <v>0</v>
      </c>
      <c r="AP66" s="27">
        <v>0</v>
      </c>
      <c r="AQ66" s="27"/>
      <c r="AR66" s="27">
        <v>0</v>
      </c>
      <c r="AS66" s="26">
        <v>0</v>
      </c>
      <c r="AT66" s="65">
        <f t="shared" si="20"/>
        <v>0</v>
      </c>
      <c r="AU66" s="27">
        <v>0</v>
      </c>
      <c r="AV66" s="27">
        <v>0</v>
      </c>
      <c r="AW66" s="27">
        <v>0</v>
      </c>
      <c r="AX66" s="111">
        <v>0</v>
      </c>
      <c r="AY66" s="65">
        <f t="shared" si="21"/>
        <v>0</v>
      </c>
      <c r="AZ66" s="27">
        <v>0</v>
      </c>
      <c r="BA66" s="27">
        <v>25.029</v>
      </c>
      <c r="BB66" s="27">
        <v>0</v>
      </c>
      <c r="BC66" s="26">
        <v>0</v>
      </c>
      <c r="BD66" s="65">
        <f t="shared" si="22"/>
        <v>25.029</v>
      </c>
      <c r="BE66" s="27">
        <v>0</v>
      </c>
      <c r="BF66" s="27">
        <v>0</v>
      </c>
      <c r="BG66" s="27">
        <v>0</v>
      </c>
      <c r="BH66" s="26">
        <v>0</v>
      </c>
      <c r="BI66" s="65">
        <f t="shared" si="23"/>
        <v>0</v>
      </c>
      <c r="BJ66" s="6" t="s">
        <v>29</v>
      </c>
      <c r="BK66" s="1"/>
      <c r="BL66" s="1"/>
      <c r="BM66" s="1"/>
      <c r="BN66" s="1"/>
    </row>
    <row r="67" spans="1:95" s="1" customFormat="1">
      <c r="A67" s="10" t="s">
        <v>43</v>
      </c>
      <c r="B67" s="22"/>
      <c r="C67" s="22"/>
      <c r="D67" s="22"/>
      <c r="E67" s="24"/>
      <c r="F67" s="65">
        <f t="shared" si="24"/>
        <v>0</v>
      </c>
      <c r="G67" s="24">
        <f t="shared" si="25"/>
        <v>0</v>
      </c>
      <c r="H67" s="22"/>
      <c r="I67" s="22"/>
      <c r="J67" s="24"/>
      <c r="K67" s="65">
        <f t="shared" si="27"/>
        <v>0</v>
      </c>
      <c r="L67" s="22">
        <f t="shared" si="28"/>
        <v>0</v>
      </c>
      <c r="M67" s="22">
        <v>0</v>
      </c>
      <c r="N67" s="22"/>
      <c r="O67" s="26">
        <v>0</v>
      </c>
      <c r="P67" s="65">
        <f t="shared" si="30"/>
        <v>0</v>
      </c>
      <c r="Q67" s="22">
        <f t="shared" si="31"/>
        <v>0</v>
      </c>
      <c r="R67" s="22">
        <v>31.5</v>
      </c>
      <c r="S67" s="22">
        <v>0</v>
      </c>
      <c r="T67" s="26">
        <v>0</v>
      </c>
      <c r="U67" s="66">
        <f t="shared" si="33"/>
        <v>31.5</v>
      </c>
      <c r="V67" s="22">
        <f t="shared" si="34"/>
        <v>0</v>
      </c>
      <c r="W67" s="22">
        <v>0</v>
      </c>
      <c r="X67" s="22">
        <v>0</v>
      </c>
      <c r="Y67" s="26">
        <v>0</v>
      </c>
      <c r="Z67" s="66">
        <f t="shared" si="36"/>
        <v>0</v>
      </c>
      <c r="AA67" s="27">
        <v>0</v>
      </c>
      <c r="AB67" s="27">
        <v>72</v>
      </c>
      <c r="AC67" s="27">
        <v>0</v>
      </c>
      <c r="AD67" s="29">
        <v>0</v>
      </c>
      <c r="AE67" s="65">
        <f t="shared" si="16"/>
        <v>72</v>
      </c>
      <c r="AF67" s="27">
        <v>0</v>
      </c>
      <c r="AG67" s="27">
        <v>0</v>
      </c>
      <c r="AH67" s="27">
        <v>0</v>
      </c>
      <c r="AI67" s="26">
        <v>0</v>
      </c>
      <c r="AJ67" s="65">
        <f t="shared" si="17"/>
        <v>0</v>
      </c>
      <c r="AK67" s="27">
        <v>0</v>
      </c>
      <c r="AL67" s="27"/>
      <c r="AM67" s="27">
        <v>0</v>
      </c>
      <c r="AN67" s="26">
        <v>0</v>
      </c>
      <c r="AO67" s="65">
        <f t="shared" si="19"/>
        <v>0</v>
      </c>
      <c r="AP67" s="27">
        <v>0</v>
      </c>
      <c r="AQ67" s="27"/>
      <c r="AR67" s="27">
        <v>0</v>
      </c>
      <c r="AS67" s="26">
        <v>0</v>
      </c>
      <c r="AT67" s="65">
        <f t="shared" si="20"/>
        <v>0</v>
      </c>
      <c r="AU67" s="27">
        <v>0</v>
      </c>
      <c r="AV67" s="27">
        <v>0</v>
      </c>
      <c r="AW67" s="27">
        <v>0</v>
      </c>
      <c r="AX67" s="111">
        <v>0</v>
      </c>
      <c r="AY67" s="65">
        <f t="shared" si="21"/>
        <v>0</v>
      </c>
      <c r="AZ67" s="27">
        <v>0</v>
      </c>
      <c r="BA67" s="27">
        <v>0</v>
      </c>
      <c r="BB67" s="27">
        <v>0</v>
      </c>
      <c r="BC67" s="26">
        <v>0</v>
      </c>
      <c r="BD67" s="65">
        <f t="shared" si="22"/>
        <v>0</v>
      </c>
      <c r="BE67" s="27">
        <v>0</v>
      </c>
      <c r="BF67" s="27">
        <v>0</v>
      </c>
      <c r="BG67" s="27">
        <v>0</v>
      </c>
      <c r="BH67" s="26">
        <v>0</v>
      </c>
      <c r="BI67" s="65">
        <f t="shared" si="23"/>
        <v>0</v>
      </c>
      <c r="BJ67" s="10" t="s">
        <v>43</v>
      </c>
    </row>
    <row r="68" spans="1:95" s="1" customFormat="1">
      <c r="A68" s="10" t="s">
        <v>40</v>
      </c>
      <c r="B68" s="22"/>
      <c r="C68" s="22"/>
      <c r="D68" s="22"/>
      <c r="E68" s="24"/>
      <c r="F68" s="65">
        <f t="shared" si="24"/>
        <v>0</v>
      </c>
      <c r="G68" s="24">
        <f t="shared" si="25"/>
        <v>0</v>
      </c>
      <c r="H68" s="22"/>
      <c r="I68" s="22"/>
      <c r="J68" s="24"/>
      <c r="K68" s="65">
        <f t="shared" si="27"/>
        <v>0</v>
      </c>
      <c r="L68" s="22">
        <f t="shared" si="28"/>
        <v>0</v>
      </c>
      <c r="M68" s="22">
        <v>0</v>
      </c>
      <c r="N68" s="22"/>
      <c r="O68" s="26">
        <v>0</v>
      </c>
      <c r="P68" s="65">
        <f t="shared" si="30"/>
        <v>0</v>
      </c>
      <c r="Q68" s="22">
        <f t="shared" si="31"/>
        <v>0</v>
      </c>
      <c r="R68" s="22">
        <f>203.28+24</f>
        <v>227.28</v>
      </c>
      <c r="S68" s="22">
        <v>0</v>
      </c>
      <c r="T68" s="26">
        <f>AE101</f>
        <v>24</v>
      </c>
      <c r="U68" s="66">
        <f t="shared" si="33"/>
        <v>203.28</v>
      </c>
      <c r="V68" s="22">
        <f t="shared" si="34"/>
        <v>24</v>
      </c>
      <c r="W68" s="22">
        <f>24+24+24+107.616+18</f>
        <v>197.61599999999999</v>
      </c>
      <c r="X68" s="22">
        <v>0</v>
      </c>
      <c r="Y68" s="26">
        <f>AM101</f>
        <v>22.8</v>
      </c>
      <c r="Z68" s="66">
        <f t="shared" si="36"/>
        <v>198.81599999999997</v>
      </c>
      <c r="AA68" s="22">
        <v>0</v>
      </c>
      <c r="AB68" s="22">
        <f>52.65+72</f>
        <v>124.65</v>
      </c>
      <c r="AC68" s="22">
        <v>0</v>
      </c>
      <c r="AD68" s="29">
        <f>AU101</f>
        <v>24</v>
      </c>
      <c r="AE68" s="65">
        <f t="shared" si="16"/>
        <v>100.65</v>
      </c>
      <c r="AF68" s="22">
        <v>0</v>
      </c>
      <c r="AG68" s="22">
        <f>163.2+84</f>
        <v>247.2</v>
      </c>
      <c r="AH68" s="22">
        <v>0</v>
      </c>
      <c r="AI68" s="26">
        <f>BC101</f>
        <v>110.4</v>
      </c>
      <c r="AJ68" s="65">
        <f>AF68+AG68+AH68-AI68</f>
        <v>136.79999999999998</v>
      </c>
      <c r="AK68" s="22">
        <v>110.4</v>
      </c>
      <c r="AL68" s="22">
        <v>67.2</v>
      </c>
      <c r="AM68" s="22">
        <v>0</v>
      </c>
      <c r="AN68" s="26">
        <f>BK101</f>
        <v>94.4</v>
      </c>
      <c r="AO68" s="65">
        <f t="shared" si="19"/>
        <v>83.200000000000017</v>
      </c>
      <c r="AP68" s="22">
        <v>94.4</v>
      </c>
      <c r="AQ68" s="22">
        <f>72+134.4</f>
        <v>206.4</v>
      </c>
      <c r="AR68" s="22">
        <v>0</v>
      </c>
      <c r="AS68" s="26">
        <f>BS101</f>
        <v>120</v>
      </c>
      <c r="AT68" s="65">
        <f t="shared" si="20"/>
        <v>180.8</v>
      </c>
      <c r="AU68" s="22">
        <v>120</v>
      </c>
      <c r="AV68" s="22">
        <v>67.2</v>
      </c>
      <c r="AW68" s="22">
        <v>0</v>
      </c>
      <c r="AX68" s="111">
        <f>CA101</f>
        <v>48</v>
      </c>
      <c r="AY68" s="65">
        <f t="shared" si="21"/>
        <v>139.19999999999999</v>
      </c>
      <c r="AZ68" s="22">
        <v>48</v>
      </c>
      <c r="BA68" s="22">
        <v>226.8</v>
      </c>
      <c r="BB68" s="22">
        <v>0</v>
      </c>
      <c r="BC68" s="26">
        <f>CI101</f>
        <v>48</v>
      </c>
      <c r="BD68" s="65">
        <f t="shared" si="22"/>
        <v>226.8</v>
      </c>
      <c r="BE68" s="22">
        <v>48</v>
      </c>
      <c r="BF68" s="22">
        <v>0</v>
      </c>
      <c r="BG68" s="22">
        <v>0</v>
      </c>
      <c r="BH68" s="26">
        <f>CQ101</f>
        <v>0</v>
      </c>
      <c r="BI68" s="65">
        <f t="shared" si="23"/>
        <v>48</v>
      </c>
      <c r="BJ68" s="10" t="s">
        <v>40</v>
      </c>
    </row>
    <row r="69" spans="1:95">
      <c r="A69" s="6" t="s">
        <v>35</v>
      </c>
      <c r="B69" s="22"/>
      <c r="C69" s="22"/>
      <c r="D69" s="22"/>
      <c r="E69" s="24"/>
      <c r="F69" s="65">
        <f t="shared" si="24"/>
        <v>0</v>
      </c>
      <c r="G69" s="24">
        <f t="shared" si="25"/>
        <v>0</v>
      </c>
      <c r="H69" s="22">
        <v>12.96</v>
      </c>
      <c r="I69" s="22">
        <v>0</v>
      </c>
      <c r="J69" s="24"/>
      <c r="K69" s="65">
        <f t="shared" si="27"/>
        <v>12.96</v>
      </c>
      <c r="L69" s="22">
        <f t="shared" si="28"/>
        <v>0</v>
      </c>
      <c r="M69" s="22">
        <v>0</v>
      </c>
      <c r="N69" s="22"/>
      <c r="O69" s="26">
        <v>0</v>
      </c>
      <c r="P69" s="65">
        <f t="shared" si="30"/>
        <v>0</v>
      </c>
      <c r="Q69" s="22">
        <f t="shared" si="31"/>
        <v>0</v>
      </c>
      <c r="R69" s="22">
        <v>0</v>
      </c>
      <c r="S69" s="22">
        <v>0</v>
      </c>
      <c r="T69" s="26">
        <v>0</v>
      </c>
      <c r="U69" s="66">
        <f t="shared" si="33"/>
        <v>0</v>
      </c>
      <c r="V69" s="22">
        <f t="shared" si="34"/>
        <v>0</v>
      </c>
      <c r="W69" s="22">
        <v>48</v>
      </c>
      <c r="X69" s="22">
        <v>0</v>
      </c>
      <c r="Y69" s="26">
        <v>0</v>
      </c>
      <c r="Z69" s="66">
        <f t="shared" si="36"/>
        <v>48</v>
      </c>
      <c r="AA69" s="22">
        <v>0</v>
      </c>
      <c r="AB69" s="22">
        <v>49.47</v>
      </c>
      <c r="AC69" s="22">
        <v>0</v>
      </c>
      <c r="AD69" s="29">
        <f t="shared" si="37"/>
        <v>0</v>
      </c>
      <c r="AE69" s="65">
        <f t="shared" si="16"/>
        <v>49.47</v>
      </c>
      <c r="AF69" s="22">
        <v>0</v>
      </c>
      <c r="AG69" s="22">
        <v>13.68</v>
      </c>
      <c r="AH69" s="22">
        <v>0</v>
      </c>
      <c r="AI69" s="26">
        <f t="shared" si="38"/>
        <v>0</v>
      </c>
      <c r="AJ69" s="65">
        <f t="shared" si="17"/>
        <v>13.68</v>
      </c>
      <c r="AK69" s="22">
        <v>0</v>
      </c>
      <c r="AL69" s="22">
        <f>25.9</f>
        <v>25.9</v>
      </c>
      <c r="AM69" s="22">
        <v>0</v>
      </c>
      <c r="AN69" s="26">
        <v>0</v>
      </c>
      <c r="AO69" s="65">
        <f t="shared" si="19"/>
        <v>25.9</v>
      </c>
      <c r="AP69" s="22">
        <v>0</v>
      </c>
      <c r="AQ69" s="22"/>
      <c r="AR69" s="22">
        <v>0</v>
      </c>
      <c r="AS69" s="26">
        <f>BS101</f>
        <v>120</v>
      </c>
      <c r="AT69" s="65">
        <f t="shared" si="20"/>
        <v>-120</v>
      </c>
      <c r="AU69" s="22">
        <v>120</v>
      </c>
      <c r="AV69" s="22">
        <v>70.319999999999993</v>
      </c>
      <c r="AW69" s="22">
        <v>0</v>
      </c>
      <c r="AX69" s="111">
        <f>BX101</f>
        <v>0.2</v>
      </c>
      <c r="AY69" s="65">
        <f t="shared" si="21"/>
        <v>190.12</v>
      </c>
      <c r="AZ69" s="22">
        <v>0.2</v>
      </c>
      <c r="BA69" s="22">
        <v>57.6</v>
      </c>
      <c r="BB69" s="22">
        <v>0</v>
      </c>
      <c r="BC69" s="26">
        <v>0</v>
      </c>
      <c r="BD69" s="65">
        <f t="shared" si="22"/>
        <v>57.800000000000004</v>
      </c>
      <c r="BE69" s="22">
        <v>0</v>
      </c>
      <c r="BF69" s="22">
        <v>87.12</v>
      </c>
      <c r="BG69" s="22">
        <v>0</v>
      </c>
      <c r="BH69" s="26">
        <v>0</v>
      </c>
      <c r="BI69" s="65">
        <f t="shared" si="23"/>
        <v>87.12</v>
      </c>
      <c r="BJ69" s="6" t="s">
        <v>35</v>
      </c>
      <c r="BK69" s="1"/>
      <c r="BL69" s="1"/>
      <c r="BM69" s="1"/>
      <c r="BN69" s="1"/>
    </row>
    <row r="70" spans="1:95">
      <c r="A70" s="10" t="s">
        <v>36</v>
      </c>
      <c r="B70" s="22"/>
      <c r="C70" s="30"/>
      <c r="D70" s="30"/>
      <c r="E70" s="24"/>
      <c r="F70" s="65">
        <f t="shared" si="24"/>
        <v>0</v>
      </c>
      <c r="G70" s="24">
        <f t="shared" si="25"/>
        <v>0</v>
      </c>
      <c r="H70" s="30">
        <v>13.44</v>
      </c>
      <c r="I70" s="30">
        <v>0</v>
      </c>
      <c r="J70" s="24"/>
      <c r="K70" s="65">
        <f t="shared" si="27"/>
        <v>13.44</v>
      </c>
      <c r="L70" s="22">
        <f t="shared" si="28"/>
        <v>0</v>
      </c>
      <c r="M70" s="30">
        <v>0</v>
      </c>
      <c r="N70" s="30"/>
      <c r="O70" s="26">
        <v>0</v>
      </c>
      <c r="P70" s="65">
        <f t="shared" si="30"/>
        <v>0</v>
      </c>
      <c r="Q70" s="22">
        <f t="shared" si="31"/>
        <v>0</v>
      </c>
      <c r="R70" s="30">
        <v>0</v>
      </c>
      <c r="S70" s="30">
        <v>0</v>
      </c>
      <c r="T70" s="26">
        <v>0</v>
      </c>
      <c r="U70" s="66">
        <f t="shared" si="33"/>
        <v>0</v>
      </c>
      <c r="V70" s="22">
        <f t="shared" si="34"/>
        <v>0</v>
      </c>
      <c r="W70" s="30">
        <f>150.8+130.13+140.99</f>
        <v>421.92</v>
      </c>
      <c r="X70" s="30">
        <v>0</v>
      </c>
      <c r="Y70" s="26">
        <v>0</v>
      </c>
      <c r="Z70" s="66">
        <f t="shared" si="36"/>
        <v>421.92</v>
      </c>
      <c r="AA70" s="22">
        <v>0</v>
      </c>
      <c r="AB70" s="30">
        <v>0</v>
      </c>
      <c r="AC70" s="30">
        <v>0</v>
      </c>
      <c r="AD70" s="29">
        <f t="shared" si="37"/>
        <v>0</v>
      </c>
      <c r="AE70" s="65">
        <f t="shared" si="16"/>
        <v>0</v>
      </c>
      <c r="AF70" s="22">
        <v>0</v>
      </c>
      <c r="AG70" s="30">
        <v>132.63</v>
      </c>
      <c r="AH70" s="30">
        <v>0</v>
      </c>
      <c r="AI70" s="26">
        <f t="shared" si="38"/>
        <v>0</v>
      </c>
      <c r="AJ70" s="65">
        <f t="shared" si="17"/>
        <v>132.63</v>
      </c>
      <c r="AK70" s="22">
        <v>0</v>
      </c>
      <c r="AL70" s="30"/>
      <c r="AM70" s="30">
        <v>0</v>
      </c>
      <c r="AN70" s="26">
        <v>0</v>
      </c>
      <c r="AO70" s="65">
        <f t="shared" si="19"/>
        <v>0</v>
      </c>
      <c r="AP70" s="22">
        <v>0</v>
      </c>
      <c r="AQ70" s="30"/>
      <c r="AR70" s="30">
        <v>0</v>
      </c>
      <c r="AS70" s="26">
        <f t="shared" si="39"/>
        <v>0</v>
      </c>
      <c r="AT70" s="65">
        <f t="shared" si="20"/>
        <v>0</v>
      </c>
      <c r="AU70" s="22">
        <v>0</v>
      </c>
      <c r="AV70" s="30">
        <v>0</v>
      </c>
      <c r="AW70" s="30">
        <v>0</v>
      </c>
      <c r="AX70" s="111">
        <f t="shared" ref="AX70:AX71" si="43">BX105</f>
        <v>0</v>
      </c>
      <c r="AY70" s="65">
        <f t="shared" si="21"/>
        <v>0</v>
      </c>
      <c r="AZ70" s="22">
        <v>0</v>
      </c>
      <c r="BA70" s="30">
        <v>56.82</v>
      </c>
      <c r="BB70" s="30">
        <v>0</v>
      </c>
      <c r="BC70" s="26">
        <v>0</v>
      </c>
      <c r="BD70" s="65">
        <f t="shared" si="22"/>
        <v>56.82</v>
      </c>
      <c r="BE70" s="22">
        <v>0</v>
      </c>
      <c r="BF70" s="30">
        <v>0</v>
      </c>
      <c r="BG70" s="30">
        <v>0</v>
      </c>
      <c r="BH70" s="26">
        <v>0</v>
      </c>
      <c r="BI70" s="65">
        <f t="shared" si="23"/>
        <v>0</v>
      </c>
      <c r="BJ70" s="10" t="s">
        <v>36</v>
      </c>
      <c r="BK70" s="1"/>
      <c r="BL70" s="1"/>
      <c r="BM70" s="1"/>
      <c r="BN70" s="1"/>
    </row>
    <row r="71" spans="1:95" ht="15.75" thickBot="1">
      <c r="A71" s="9" t="s">
        <v>34</v>
      </c>
      <c r="B71" s="30"/>
      <c r="C71" s="30">
        <v>474.24</v>
      </c>
      <c r="D71" s="30">
        <v>0</v>
      </c>
      <c r="E71" s="30">
        <v>0</v>
      </c>
      <c r="F71" s="65">
        <f t="shared" si="24"/>
        <v>474.24</v>
      </c>
      <c r="G71" s="24">
        <f t="shared" si="25"/>
        <v>0</v>
      </c>
      <c r="H71" s="30">
        <f>228.44+18.9</f>
        <v>247.34</v>
      </c>
      <c r="I71" s="30">
        <v>0</v>
      </c>
      <c r="J71" s="24"/>
      <c r="K71" s="65">
        <f t="shared" si="27"/>
        <v>247.34</v>
      </c>
      <c r="L71" s="22">
        <f t="shared" si="28"/>
        <v>0</v>
      </c>
      <c r="M71" s="30">
        <v>54.76</v>
      </c>
      <c r="N71" s="30"/>
      <c r="O71" s="26">
        <v>0</v>
      </c>
      <c r="P71" s="65">
        <f t="shared" si="30"/>
        <v>54.76</v>
      </c>
      <c r="Q71" s="22">
        <f t="shared" si="31"/>
        <v>0</v>
      </c>
      <c r="R71" s="30">
        <v>178.17</v>
      </c>
      <c r="S71" s="30">
        <v>0</v>
      </c>
      <c r="T71" s="70">
        <v>0</v>
      </c>
      <c r="U71" s="66">
        <f t="shared" si="33"/>
        <v>178.17</v>
      </c>
      <c r="V71" s="22">
        <f t="shared" si="34"/>
        <v>0</v>
      </c>
      <c r="W71" s="30">
        <v>0</v>
      </c>
      <c r="X71" s="30">
        <v>0</v>
      </c>
      <c r="Y71" s="70">
        <v>0</v>
      </c>
      <c r="Z71" s="66">
        <f t="shared" si="36"/>
        <v>0</v>
      </c>
      <c r="AA71" s="30">
        <v>0</v>
      </c>
      <c r="AB71" s="30">
        <v>0</v>
      </c>
      <c r="AC71" s="30">
        <v>0</v>
      </c>
      <c r="AD71" s="29">
        <f t="shared" si="37"/>
        <v>0</v>
      </c>
      <c r="AE71" s="69">
        <f t="shared" si="16"/>
        <v>0</v>
      </c>
      <c r="AF71" s="30">
        <v>0</v>
      </c>
      <c r="AG71" s="30">
        <v>227.06</v>
      </c>
      <c r="AH71" s="30">
        <v>0</v>
      </c>
      <c r="AI71" s="26">
        <f t="shared" si="38"/>
        <v>0</v>
      </c>
      <c r="AJ71" s="69">
        <f t="shared" si="17"/>
        <v>227.06</v>
      </c>
      <c r="AK71" s="30">
        <v>0</v>
      </c>
      <c r="AL71" s="30">
        <f>75.42+46.89+55.46</f>
        <v>177.77</v>
      </c>
      <c r="AM71" s="30">
        <v>0</v>
      </c>
      <c r="AN71" s="70">
        <v>0</v>
      </c>
      <c r="AO71" s="69">
        <f t="shared" si="19"/>
        <v>177.77</v>
      </c>
      <c r="AP71" s="30">
        <v>0</v>
      </c>
      <c r="AQ71" s="30">
        <v>332.75</v>
      </c>
      <c r="AR71" s="30">
        <v>0</v>
      </c>
      <c r="AS71" s="26">
        <f t="shared" si="39"/>
        <v>0</v>
      </c>
      <c r="AT71" s="69">
        <f t="shared" si="20"/>
        <v>332.75</v>
      </c>
      <c r="AU71" s="30">
        <v>0</v>
      </c>
      <c r="AV71" s="30">
        <v>377.21</v>
      </c>
      <c r="AW71" s="30">
        <v>0</v>
      </c>
      <c r="AX71" s="111">
        <f t="shared" si="43"/>
        <v>0</v>
      </c>
      <c r="AY71" s="69">
        <f t="shared" si="21"/>
        <v>377.21</v>
      </c>
      <c r="AZ71" s="30">
        <v>0</v>
      </c>
      <c r="BA71" s="30">
        <v>427.46</v>
      </c>
      <c r="BB71" s="30">
        <v>0</v>
      </c>
      <c r="BC71" s="26">
        <v>0</v>
      </c>
      <c r="BD71" s="69">
        <f t="shared" si="22"/>
        <v>427.46</v>
      </c>
      <c r="BE71" s="30">
        <v>0</v>
      </c>
      <c r="BF71" s="30">
        <v>54.03</v>
      </c>
      <c r="BG71" s="30">
        <v>0</v>
      </c>
      <c r="BH71" s="26">
        <f t="shared" si="42"/>
        <v>0</v>
      </c>
      <c r="BI71" s="69">
        <f t="shared" si="23"/>
        <v>54.03</v>
      </c>
      <c r="BJ71" s="9" t="s">
        <v>34</v>
      </c>
      <c r="BK71" s="1"/>
      <c r="BL71" s="1"/>
      <c r="BM71" s="1"/>
      <c r="BN71" s="1"/>
    </row>
    <row r="72" spans="1:95" ht="19.5" thickBot="1">
      <c r="A72" s="1"/>
      <c r="B72" s="71">
        <f>SUM(B43:B71)</f>
        <v>2281.9599999999991</v>
      </c>
      <c r="C72" s="72">
        <f>SUM(C43:C71)</f>
        <v>1614.28</v>
      </c>
      <c r="D72" s="73">
        <f>SUM(D43:D71)</f>
        <v>793.23</v>
      </c>
      <c r="E72" s="73">
        <f>SUM(E43:E71)</f>
        <v>2288.4173604060911</v>
      </c>
      <c r="F72" s="77">
        <f>SUM(F43:F71)</f>
        <v>2401.0526395939087</v>
      </c>
      <c r="G72" s="74">
        <f>SUM(G43:G66)</f>
        <v>2288.4173604060911</v>
      </c>
      <c r="H72" s="74">
        <f>SUM(H43:H71)</f>
        <v>1110.99</v>
      </c>
      <c r="I72" s="74">
        <f>SUM(I43:I71)</f>
        <v>238.84500000000003</v>
      </c>
      <c r="J72" s="74">
        <f>SUM(J43:J71)</f>
        <v>2080.3891878172594</v>
      </c>
      <c r="K72" s="77">
        <f>SUM(K43:K71)</f>
        <v>1557.8631725888324</v>
      </c>
      <c r="L72" s="74">
        <f>SUM(L43:L68)</f>
        <v>2080.3891878172594</v>
      </c>
      <c r="M72" s="74">
        <f>SUM(M43:M71)</f>
        <v>773.95999999999981</v>
      </c>
      <c r="N72" s="74">
        <f>SUM(N43:N71)</f>
        <v>632.49500000000012</v>
      </c>
      <c r="O72" s="74">
        <f>SUM(O43:O71)</f>
        <v>2048.5672081218272</v>
      </c>
      <c r="P72" s="77">
        <f>SUM(P43:P71)</f>
        <v>1438.2769796954315</v>
      </c>
      <c r="Q72" s="74">
        <f>SUM(Q43:Q65)</f>
        <v>2048.5672081218272</v>
      </c>
      <c r="R72" s="74">
        <f t="shared" ref="R72:Z72" si="44">SUM(R43:R71)</f>
        <v>1893.11</v>
      </c>
      <c r="S72" s="74">
        <f t="shared" si="44"/>
        <v>1038.7599999999998</v>
      </c>
      <c r="T72" s="74">
        <f t="shared" si="44"/>
        <v>2357.1413705583759</v>
      </c>
      <c r="U72" s="77">
        <f t="shared" si="44"/>
        <v>2623.2958375634516</v>
      </c>
      <c r="V72" s="74">
        <f t="shared" si="44"/>
        <v>2357.1413705583759</v>
      </c>
      <c r="W72" s="74">
        <f t="shared" si="44"/>
        <v>2016.0010000000002</v>
      </c>
      <c r="X72" s="74">
        <f t="shared" si="44"/>
        <v>832.31</v>
      </c>
      <c r="Y72" s="74">
        <f t="shared" si="44"/>
        <v>2630.44</v>
      </c>
      <c r="Z72" s="77">
        <f t="shared" si="44"/>
        <v>2575.012370558376</v>
      </c>
      <c r="AA72" s="74">
        <f>SUM(AA43:AA65)</f>
        <v>2621.89</v>
      </c>
      <c r="AB72" s="74">
        <f>SUM(AB43:AB71)</f>
        <v>1646.9200000000003</v>
      </c>
      <c r="AC72" s="74">
        <f>SUM(AC43:AC71)</f>
        <v>630.2600000000001</v>
      </c>
      <c r="AD72" s="74">
        <f>SUM(AD43:AD71)</f>
        <v>2149.645</v>
      </c>
      <c r="AE72" s="77">
        <f>SUM(AE43:AE71)</f>
        <v>2749.4249999999997</v>
      </c>
      <c r="AF72" s="74">
        <f>SUM(AF43:AF71)</f>
        <v>2149.645</v>
      </c>
      <c r="AG72" s="74">
        <f t="shared" ref="AG72:AI72" si="45">SUM(AG43:AG71)</f>
        <v>2187.54</v>
      </c>
      <c r="AH72" s="74">
        <f t="shared" si="45"/>
        <v>411.68000000000006</v>
      </c>
      <c r="AI72" s="74">
        <f t="shared" si="45"/>
        <v>1941.13</v>
      </c>
      <c r="AJ72" s="77">
        <f>SUM(AJ43:AJ71)</f>
        <v>2807.7350000000001</v>
      </c>
      <c r="AK72" s="74">
        <f>SUM(AK43:AK71)</f>
        <v>1941.13</v>
      </c>
      <c r="AL72" s="74">
        <f t="shared" ref="AL72:AM72" si="46">SUM(AL43:AL71)</f>
        <v>857.91</v>
      </c>
      <c r="AM72" s="74">
        <f t="shared" si="46"/>
        <v>730.96000000000015</v>
      </c>
      <c r="AN72" s="74">
        <f>SUM(AN43:AN71)</f>
        <v>2057.6549999999997</v>
      </c>
      <c r="AO72" s="77">
        <f>SUM(AO43:AO71)</f>
        <v>1472.3450000000003</v>
      </c>
      <c r="AP72" s="74">
        <f>SUM(AP43:AP71)</f>
        <v>2057.6549999999997</v>
      </c>
      <c r="AQ72" s="74">
        <f t="shared" ref="AQ72:AR72" si="47">SUM(AQ43:AQ71)</f>
        <v>2046.19</v>
      </c>
      <c r="AR72" s="74">
        <f t="shared" si="47"/>
        <v>108.57000000000001</v>
      </c>
      <c r="AS72" s="74">
        <f>SUM(AS43:AS71)</f>
        <v>1872.66</v>
      </c>
      <c r="AT72" s="77">
        <f>SUM(AT43:AT71)</f>
        <v>2339.7550000000006</v>
      </c>
      <c r="AU72" s="74">
        <f>SUM(AU43:AU71)</f>
        <v>1872.66</v>
      </c>
      <c r="AV72" s="74">
        <f t="shared" ref="AV72:AW72" si="48">SUM(AV43:AV71)</f>
        <v>2103.37</v>
      </c>
      <c r="AW72" s="74">
        <f t="shared" si="48"/>
        <v>1283.7549999999999</v>
      </c>
      <c r="AX72" s="112">
        <f>SUM(AX43:AX71)</f>
        <v>2196.1849999999999</v>
      </c>
      <c r="AY72" s="77">
        <f>SUM(AY43:AY71)</f>
        <v>3063.6</v>
      </c>
      <c r="AZ72" s="74">
        <f>SUM(AZ43:AZ71)</f>
        <v>2196.1849999999999</v>
      </c>
      <c r="BA72" s="74">
        <f t="shared" ref="BA72:BB72" si="49">SUM(BA43:BA71)</f>
        <v>3191.3290000000006</v>
      </c>
      <c r="BB72" s="74">
        <f t="shared" si="49"/>
        <v>699.48000000000025</v>
      </c>
      <c r="BC72" s="74">
        <f>SUM(BC43:BC71)</f>
        <v>2753.19</v>
      </c>
      <c r="BD72" s="77">
        <f>SUM(BD43:BD71)</f>
        <v>3333.804000000001</v>
      </c>
      <c r="BE72" s="74">
        <f>SUM(BE43:BE71)</f>
        <v>2753.19</v>
      </c>
      <c r="BF72" s="74">
        <f t="shared" ref="BF72:BG72" si="50">SUM(BF43:BF71)</f>
        <v>3097.7400000000002</v>
      </c>
      <c r="BG72" s="74">
        <f t="shared" si="50"/>
        <v>695.09000000000015</v>
      </c>
      <c r="BH72" s="74">
        <f>SUM(BH43:BH71)</f>
        <v>3420</v>
      </c>
      <c r="BI72" s="77">
        <f>SUM(BI43:BI71)</f>
        <v>3126.02</v>
      </c>
      <c r="BJ72" s="1"/>
      <c r="BK72" s="1"/>
      <c r="BL72" s="1"/>
      <c r="BM72" s="1"/>
      <c r="BN72" s="1"/>
    </row>
    <row r="73" spans="1:95">
      <c r="A73" s="1"/>
      <c r="B73" s="1"/>
      <c r="J73" s="1"/>
      <c r="K73" s="1"/>
      <c r="L73" s="1"/>
      <c r="M73" s="1"/>
      <c r="N73" s="1"/>
      <c r="BJ73" s="1"/>
      <c r="BK73" s="1"/>
      <c r="BL73" s="1"/>
      <c r="BM73" s="1"/>
      <c r="BN73" s="1"/>
      <c r="CN73">
        <v>338</v>
      </c>
    </row>
    <row r="74" spans="1:95">
      <c r="J74" s="1"/>
      <c r="K74" s="1"/>
      <c r="L74" s="1"/>
      <c r="M74" s="1"/>
      <c r="N74" s="1"/>
      <c r="O74" s="1"/>
      <c r="P74" s="1"/>
      <c r="AH74">
        <f>158-60</f>
        <v>98</v>
      </c>
      <c r="BJ74" s="1"/>
      <c r="BK74" s="1"/>
      <c r="BL74" s="1"/>
      <c r="BM74" s="1"/>
      <c r="BN74" s="1"/>
    </row>
    <row r="75" spans="1:95">
      <c r="C75"/>
      <c r="J75" s="1"/>
      <c r="K75" s="1"/>
      <c r="L75" s="1"/>
      <c r="M75" s="1"/>
      <c r="N75" s="1"/>
    </row>
    <row r="76" spans="1:95" ht="17.25" customHeight="1">
      <c r="A76" s="19" t="s">
        <v>45</v>
      </c>
      <c r="B76" s="18"/>
      <c r="C76"/>
      <c r="D76" s="18"/>
      <c r="E76" s="18" t="s">
        <v>64</v>
      </c>
      <c r="F76" s="17"/>
      <c r="G76" s="17"/>
      <c r="I76" s="19" t="s">
        <v>45</v>
      </c>
      <c r="J76" s="18"/>
      <c r="K76" s="18"/>
      <c r="L76" s="18" t="s">
        <v>65</v>
      </c>
      <c r="M76" s="17"/>
      <c r="N76" s="17"/>
      <c r="Q76" s="19" t="s">
        <v>45</v>
      </c>
      <c r="R76" s="18"/>
      <c r="S76" s="18"/>
      <c r="T76" s="18" t="s">
        <v>73</v>
      </c>
      <c r="U76" s="17"/>
      <c r="V76" s="17"/>
      <c r="W76" s="1"/>
      <c r="Y76" s="19" t="s">
        <v>45</v>
      </c>
      <c r="Z76" s="18"/>
      <c r="AA76" s="18"/>
      <c r="AB76" s="18" t="s">
        <v>74</v>
      </c>
      <c r="AC76" s="17"/>
      <c r="AD76" s="17"/>
      <c r="AE76" s="1"/>
      <c r="AG76" s="19" t="s">
        <v>45</v>
      </c>
      <c r="AH76" s="18"/>
      <c r="AI76" s="18"/>
      <c r="AJ76" s="18" t="s">
        <v>75</v>
      </c>
      <c r="AK76" s="17"/>
      <c r="AL76" s="17"/>
      <c r="AM76" s="1"/>
      <c r="AO76" s="19" t="s">
        <v>45</v>
      </c>
      <c r="AP76" s="18"/>
      <c r="AQ76" s="18"/>
      <c r="AR76" s="18" t="s">
        <v>76</v>
      </c>
      <c r="AS76" s="17"/>
      <c r="AT76" s="17"/>
      <c r="AU76" s="1"/>
      <c r="AW76" s="19" t="s">
        <v>45</v>
      </c>
      <c r="AX76" s="18"/>
      <c r="AY76" s="18"/>
      <c r="AZ76" s="18" t="s">
        <v>77</v>
      </c>
      <c r="BA76" s="17"/>
      <c r="BB76" s="17"/>
      <c r="BC76" s="1"/>
      <c r="BE76" s="19" t="s">
        <v>45</v>
      </c>
      <c r="BF76" s="18"/>
      <c r="BG76" s="18"/>
      <c r="BH76" s="18" t="s">
        <v>78</v>
      </c>
      <c r="BI76" s="17"/>
      <c r="BJ76" s="17"/>
      <c r="BK76" s="1"/>
      <c r="BM76" s="19" t="s">
        <v>45</v>
      </c>
      <c r="BN76" s="18"/>
      <c r="BO76" s="18"/>
      <c r="BP76" s="18" t="s">
        <v>79</v>
      </c>
      <c r="BQ76" s="17"/>
      <c r="BR76" s="17"/>
      <c r="BS76" s="1"/>
      <c r="BU76" s="19" t="s">
        <v>45</v>
      </c>
      <c r="BV76" s="18"/>
      <c r="BW76" s="18"/>
      <c r="BX76" s="18" t="s">
        <v>80</v>
      </c>
      <c r="BY76" s="17"/>
      <c r="BZ76" s="17"/>
      <c r="CA76" s="1"/>
      <c r="CC76" s="19" t="s">
        <v>45</v>
      </c>
      <c r="CD76" s="18"/>
      <c r="CE76" s="18"/>
      <c r="CF76" s="18" t="s">
        <v>81</v>
      </c>
      <c r="CG76" s="17"/>
      <c r="CH76" s="17"/>
      <c r="CI76" s="1"/>
      <c r="CK76" s="19" t="s">
        <v>45</v>
      </c>
      <c r="CL76" s="18"/>
      <c r="CM76" s="18"/>
      <c r="CN76" s="18" t="s">
        <v>82</v>
      </c>
      <c r="CO76" s="17"/>
      <c r="CP76" s="17"/>
      <c r="CQ76" s="1"/>
    </row>
    <row r="77" spans="1:95" ht="46.5" customHeight="1">
      <c r="A77" s="19"/>
      <c r="B77" s="84" t="s">
        <v>54</v>
      </c>
      <c r="C77" s="85" t="s">
        <v>71</v>
      </c>
      <c r="D77" s="84"/>
      <c r="E77" s="84" t="s">
        <v>48</v>
      </c>
      <c r="F77" s="86" t="s">
        <v>94</v>
      </c>
      <c r="G77" s="87" t="s">
        <v>95</v>
      </c>
      <c r="H77" s="85"/>
      <c r="I77" s="88"/>
      <c r="J77" s="84" t="s">
        <v>54</v>
      </c>
      <c r="K77" s="85" t="s">
        <v>71</v>
      </c>
      <c r="L77" s="84"/>
      <c r="M77" s="84" t="s">
        <v>48</v>
      </c>
      <c r="N77" s="86" t="s">
        <v>94</v>
      </c>
      <c r="O77" s="87" t="s">
        <v>95</v>
      </c>
      <c r="P77" s="85"/>
      <c r="Q77" s="88"/>
      <c r="R77" s="84" t="s">
        <v>54</v>
      </c>
      <c r="S77" s="85" t="s">
        <v>71</v>
      </c>
      <c r="T77" s="84"/>
      <c r="U77" s="84" t="s">
        <v>48</v>
      </c>
      <c r="V77" s="86" t="s">
        <v>94</v>
      </c>
      <c r="W77" s="87" t="s">
        <v>95</v>
      </c>
      <c r="X77" s="85"/>
      <c r="Y77" s="88"/>
      <c r="Z77" s="84" t="s">
        <v>54</v>
      </c>
      <c r="AA77" s="85" t="s">
        <v>71</v>
      </c>
      <c r="AB77" s="84"/>
      <c r="AC77" s="84" t="s">
        <v>48</v>
      </c>
      <c r="AD77" s="86" t="s">
        <v>94</v>
      </c>
      <c r="AE77" s="87" t="s">
        <v>95</v>
      </c>
      <c r="AF77" s="85"/>
      <c r="AG77" s="88"/>
      <c r="AH77" s="84" t="s">
        <v>54</v>
      </c>
      <c r="AI77" s="85" t="s">
        <v>97</v>
      </c>
      <c r="AJ77" s="84"/>
      <c r="AK77" s="84" t="s">
        <v>48</v>
      </c>
      <c r="AL77" s="86" t="s">
        <v>94</v>
      </c>
      <c r="AM77" s="87" t="s">
        <v>95</v>
      </c>
      <c r="AN77" s="85"/>
      <c r="AO77" s="88"/>
      <c r="AP77" s="84" t="s">
        <v>54</v>
      </c>
      <c r="AQ77" s="85" t="s">
        <v>71</v>
      </c>
      <c r="AR77" s="84"/>
      <c r="AS77" s="84" t="s">
        <v>48</v>
      </c>
      <c r="AT77" s="86" t="s">
        <v>94</v>
      </c>
      <c r="AU77" s="87" t="s">
        <v>95</v>
      </c>
      <c r="AV77" s="85"/>
      <c r="AW77" s="88"/>
      <c r="AX77" s="84" t="s">
        <v>54</v>
      </c>
      <c r="AY77" s="85" t="s">
        <v>71</v>
      </c>
      <c r="AZ77" s="84"/>
      <c r="BA77" s="84" t="s">
        <v>48</v>
      </c>
      <c r="BB77" s="86" t="s">
        <v>94</v>
      </c>
      <c r="BC77" s="87" t="s">
        <v>95</v>
      </c>
      <c r="BD77" s="85"/>
      <c r="BE77" s="88"/>
      <c r="BF77" s="84" t="s">
        <v>54</v>
      </c>
      <c r="BG77" s="85" t="s">
        <v>71</v>
      </c>
      <c r="BH77" s="84"/>
      <c r="BI77" s="84" t="s">
        <v>48</v>
      </c>
      <c r="BJ77" s="86" t="s">
        <v>94</v>
      </c>
      <c r="BK77" s="87" t="s">
        <v>95</v>
      </c>
      <c r="BM77" s="88"/>
      <c r="BN77" s="84" t="s">
        <v>54</v>
      </c>
      <c r="BO77" s="85" t="s">
        <v>71</v>
      </c>
      <c r="BP77" s="84"/>
      <c r="BQ77" s="84" t="s">
        <v>48</v>
      </c>
      <c r="BR77" s="86" t="s">
        <v>94</v>
      </c>
      <c r="BS77" s="87" t="s">
        <v>95</v>
      </c>
      <c r="BU77" s="88"/>
      <c r="BV77" s="84" t="s">
        <v>54</v>
      </c>
      <c r="BW77" s="85" t="s">
        <v>71</v>
      </c>
      <c r="BX77" s="84"/>
      <c r="BY77" s="84" t="s">
        <v>48</v>
      </c>
      <c r="BZ77" s="86" t="s">
        <v>94</v>
      </c>
      <c r="CA77" s="87" t="s">
        <v>95</v>
      </c>
      <c r="CC77" s="88"/>
      <c r="CD77" s="84" t="s">
        <v>54</v>
      </c>
      <c r="CE77" s="85" t="s">
        <v>71</v>
      </c>
      <c r="CF77" s="84"/>
      <c r="CG77" s="84" t="s">
        <v>48</v>
      </c>
      <c r="CH77" s="86" t="s">
        <v>94</v>
      </c>
      <c r="CI77" s="87" t="s">
        <v>95</v>
      </c>
      <c r="CK77" s="88"/>
      <c r="CL77" s="84" t="s">
        <v>54</v>
      </c>
      <c r="CM77" s="85" t="s">
        <v>71</v>
      </c>
      <c r="CN77" s="84"/>
      <c r="CO77" s="84" t="s">
        <v>48</v>
      </c>
      <c r="CP77" s="86" t="s">
        <v>94</v>
      </c>
      <c r="CQ77" s="87" t="s">
        <v>95</v>
      </c>
    </row>
    <row r="78" spans="1:95">
      <c r="A78" s="20" t="s">
        <v>6</v>
      </c>
      <c r="B78" s="16">
        <v>239</v>
      </c>
      <c r="C78" s="16">
        <v>77</v>
      </c>
      <c r="D78" s="16">
        <v>0.7</v>
      </c>
      <c r="E78" s="92">
        <f t="shared" ref="E78:E101" si="51">B78*D78</f>
        <v>167.29999999999998</v>
      </c>
      <c r="F78" s="90">
        <f>C78*D78</f>
        <v>53.9</v>
      </c>
      <c r="G78" s="89">
        <f>E78+F78</f>
        <v>221.2</v>
      </c>
      <c r="I78" s="20" t="s">
        <v>6</v>
      </c>
      <c r="J78" s="16">
        <v>192</v>
      </c>
      <c r="K78" s="16">
        <v>0</v>
      </c>
      <c r="L78" s="16">
        <v>0.7</v>
      </c>
      <c r="M78" s="16">
        <f t="shared" ref="M78:M101" si="52">J78*L78</f>
        <v>134.39999999999998</v>
      </c>
      <c r="N78" s="20"/>
      <c r="O78" s="89">
        <f>M78+N78</f>
        <v>134.39999999999998</v>
      </c>
      <c r="Q78" s="20" t="s">
        <v>6</v>
      </c>
      <c r="R78" s="16">
        <v>104</v>
      </c>
      <c r="S78" s="16">
        <v>0</v>
      </c>
      <c r="T78" s="16">
        <v>0.7</v>
      </c>
      <c r="U78" s="16">
        <f t="shared" ref="U78:U101" si="53">R78*T78</f>
        <v>72.8</v>
      </c>
      <c r="V78" s="20"/>
      <c r="W78" s="89">
        <f>U78+V78</f>
        <v>72.8</v>
      </c>
      <c r="Y78" s="20" t="s">
        <v>6</v>
      </c>
      <c r="Z78" s="16">
        <v>84</v>
      </c>
      <c r="AA78" s="16">
        <v>0</v>
      </c>
      <c r="AB78" s="16">
        <v>0.7</v>
      </c>
      <c r="AC78" s="16">
        <f t="shared" ref="AC78:AC100" si="54">Z78*AB78</f>
        <v>58.8</v>
      </c>
      <c r="AD78" s="20">
        <f>AA78*AB78</f>
        <v>0</v>
      </c>
      <c r="AE78" s="89">
        <f>AC78+AD78</f>
        <v>58.8</v>
      </c>
      <c r="AG78" s="20" t="s">
        <v>6</v>
      </c>
      <c r="AH78" s="16">
        <v>181</v>
      </c>
      <c r="AI78" s="16"/>
      <c r="AJ78" s="16">
        <v>0.7</v>
      </c>
      <c r="AK78" s="16">
        <f t="shared" ref="AK78:AK99" si="55">AH78*AJ78</f>
        <v>126.69999999999999</v>
      </c>
      <c r="AL78" s="20">
        <f>AI78*AJ78</f>
        <v>0</v>
      </c>
      <c r="AM78" s="16">
        <f>AK78+AL78</f>
        <v>126.69999999999999</v>
      </c>
      <c r="AO78" s="20" t="s">
        <v>6</v>
      </c>
      <c r="AP78" s="16">
        <v>178</v>
      </c>
      <c r="AQ78" s="16">
        <v>0</v>
      </c>
      <c r="AR78" s="16">
        <v>0.7</v>
      </c>
      <c r="AS78" s="16">
        <f t="shared" ref="AS78:AS101" si="56">AP78*AR78</f>
        <v>124.6</v>
      </c>
      <c r="AT78" s="20">
        <f>AQ78*AR78</f>
        <v>0</v>
      </c>
      <c r="AU78" s="16">
        <f>AS78+AT78</f>
        <v>124.6</v>
      </c>
      <c r="AW78" s="20" t="s">
        <v>6</v>
      </c>
      <c r="AX78" s="16">
        <v>138</v>
      </c>
      <c r="AY78" s="16">
        <v>384</v>
      </c>
      <c r="AZ78" s="16">
        <v>0.7</v>
      </c>
      <c r="BA78" s="16">
        <f t="shared" ref="BA78:BA101" si="57">AX78*AZ78</f>
        <v>96.6</v>
      </c>
      <c r="BB78" s="20">
        <f>AY78*AZ78</f>
        <v>268.79999999999995</v>
      </c>
      <c r="BC78" s="16">
        <f>BA78+BB78</f>
        <v>365.4</v>
      </c>
      <c r="BD78" s="1" t="s">
        <v>120</v>
      </c>
      <c r="BE78" s="20" t="s">
        <v>6</v>
      </c>
      <c r="BF78" s="16">
        <v>180</v>
      </c>
      <c r="BG78" s="16">
        <v>336</v>
      </c>
      <c r="BH78" s="16">
        <v>0.7</v>
      </c>
      <c r="BI78" s="16">
        <f t="shared" ref="BI78:BI101" si="58">BF78*BH78</f>
        <v>125.99999999999999</v>
      </c>
      <c r="BJ78" s="20">
        <f>BG78*BH78</f>
        <v>235.2</v>
      </c>
      <c r="BK78" s="16">
        <f>BI78+BJ78</f>
        <v>361.2</v>
      </c>
      <c r="BL78" s="1" t="s">
        <v>126</v>
      </c>
      <c r="BM78" s="20" t="s">
        <v>6</v>
      </c>
      <c r="BN78" s="16">
        <v>198</v>
      </c>
      <c r="BO78" s="16"/>
      <c r="BP78" s="16">
        <v>0.7</v>
      </c>
      <c r="BQ78" s="16">
        <f t="shared" ref="BQ78:BQ101" si="59">BN78*BP78</f>
        <v>138.6</v>
      </c>
      <c r="BR78" s="20">
        <f>BO78*BP78</f>
        <v>0</v>
      </c>
      <c r="BS78" s="16">
        <f>BQ78+BR78</f>
        <v>138.6</v>
      </c>
      <c r="BU78" s="20" t="s">
        <v>6</v>
      </c>
      <c r="BV78" s="16">
        <v>222</v>
      </c>
      <c r="BW78" s="16">
        <v>20</v>
      </c>
      <c r="BX78" s="16">
        <v>0.7</v>
      </c>
      <c r="BY78" s="16">
        <f t="shared" ref="BY78:BY101" si="60">BV78*BX78</f>
        <v>155.39999999999998</v>
      </c>
      <c r="BZ78" s="20">
        <f>BW78*BX78</f>
        <v>14</v>
      </c>
      <c r="CA78" s="89">
        <f>BY78+BZ78</f>
        <v>169.39999999999998</v>
      </c>
      <c r="CC78" s="20" t="s">
        <v>6</v>
      </c>
      <c r="CD78" s="16">
        <v>232</v>
      </c>
      <c r="CE78" s="16">
        <v>173</v>
      </c>
      <c r="CF78" s="16">
        <v>0.7</v>
      </c>
      <c r="CG78" s="16">
        <f t="shared" ref="CG78:CG101" si="61">CD78*CF78</f>
        <v>162.39999999999998</v>
      </c>
      <c r="CH78" s="20">
        <f>CE78*CF78</f>
        <v>121.1</v>
      </c>
      <c r="CI78" s="92">
        <f>CG78+CH78</f>
        <v>283.5</v>
      </c>
      <c r="CK78" s="20" t="s">
        <v>6</v>
      </c>
      <c r="CL78" s="16">
        <v>193</v>
      </c>
      <c r="CM78" s="16">
        <v>483</v>
      </c>
      <c r="CN78" s="16">
        <v>0.7</v>
      </c>
      <c r="CO78" s="16">
        <f t="shared" ref="CO78:CO101" si="62">CL78*CN78</f>
        <v>135.1</v>
      </c>
      <c r="CP78" s="20">
        <f>CM78*CN78</f>
        <v>338.09999999999997</v>
      </c>
      <c r="CQ78" s="16">
        <f>CO78+CP78</f>
        <v>473.19999999999993</v>
      </c>
    </row>
    <row r="79" spans="1:95">
      <c r="A79" s="20" t="s">
        <v>7</v>
      </c>
      <c r="B79" s="16">
        <v>124</v>
      </c>
      <c r="C79" s="16">
        <v>310</v>
      </c>
      <c r="D79" s="16">
        <v>1</v>
      </c>
      <c r="E79" s="92">
        <f t="shared" si="51"/>
        <v>124</v>
      </c>
      <c r="F79" s="90">
        <f>C79*D79</f>
        <v>310</v>
      </c>
      <c r="G79" s="89">
        <f t="shared" ref="G79:G101" si="63">E79+F79</f>
        <v>434</v>
      </c>
      <c r="H79" s="1" t="s">
        <v>96</v>
      </c>
      <c r="I79" s="20" t="s">
        <v>7</v>
      </c>
      <c r="J79" s="16">
        <v>94</v>
      </c>
      <c r="K79" s="16">
        <v>310</v>
      </c>
      <c r="L79" s="16">
        <v>1</v>
      </c>
      <c r="M79" s="16">
        <f t="shared" si="52"/>
        <v>94</v>
      </c>
      <c r="N79" s="20">
        <f>K79*L79</f>
        <v>310</v>
      </c>
      <c r="O79" s="89">
        <f>M79+N79</f>
        <v>404</v>
      </c>
      <c r="P79" s="1" t="s">
        <v>96</v>
      </c>
      <c r="Q79" s="20" t="s">
        <v>7</v>
      </c>
      <c r="R79" s="16">
        <v>97</v>
      </c>
      <c r="S79" s="16">
        <v>663</v>
      </c>
      <c r="T79" s="16">
        <v>1</v>
      </c>
      <c r="U79" s="16">
        <f t="shared" si="53"/>
        <v>97</v>
      </c>
      <c r="V79" s="20">
        <f>S79*T79</f>
        <v>663</v>
      </c>
      <c r="W79" s="89">
        <f t="shared" ref="W79:W101" si="64">U79+V79</f>
        <v>760</v>
      </c>
      <c r="X79" s="1" t="s">
        <v>83</v>
      </c>
      <c r="Y79" s="20" t="s">
        <v>7</v>
      </c>
      <c r="Z79" s="16">
        <v>120</v>
      </c>
      <c r="AA79" s="16">
        <v>756</v>
      </c>
      <c r="AB79" s="16">
        <v>1</v>
      </c>
      <c r="AC79" s="16">
        <f t="shared" si="54"/>
        <v>120</v>
      </c>
      <c r="AD79" s="20">
        <f>AA79*AB79</f>
        <v>756</v>
      </c>
      <c r="AE79" s="89">
        <f t="shared" ref="AE79:AE101" si="65">AC79+AD79</f>
        <v>876</v>
      </c>
      <c r="AF79" s="1" t="s">
        <v>85</v>
      </c>
      <c r="AG79" s="20" t="s">
        <v>7</v>
      </c>
      <c r="AH79" s="16">
        <v>134</v>
      </c>
      <c r="AI79" s="16">
        <v>630</v>
      </c>
      <c r="AJ79" s="16">
        <v>1</v>
      </c>
      <c r="AK79" s="16">
        <f t="shared" si="55"/>
        <v>134</v>
      </c>
      <c r="AL79" s="20">
        <f>AI79*AJ79</f>
        <v>630</v>
      </c>
      <c r="AM79" s="16">
        <f t="shared" ref="AM79:AM99" si="66">AK79+AL79</f>
        <v>764</v>
      </c>
      <c r="AN79" s="1" t="s">
        <v>108</v>
      </c>
      <c r="AO79" s="20" t="s">
        <v>7</v>
      </c>
      <c r="AP79" s="16">
        <v>126</v>
      </c>
      <c r="AQ79" s="16">
        <v>344</v>
      </c>
      <c r="AR79" s="16">
        <v>1</v>
      </c>
      <c r="AS79" s="16">
        <f t="shared" si="56"/>
        <v>126</v>
      </c>
      <c r="AT79" s="20">
        <f>AQ79*AR79</f>
        <v>344</v>
      </c>
      <c r="AU79" s="16">
        <f t="shared" ref="AU79:AU101" si="67">AS79+AT79</f>
        <v>470</v>
      </c>
      <c r="AV79" s="1" t="s">
        <v>114</v>
      </c>
      <c r="AW79" s="20" t="s">
        <v>7</v>
      </c>
      <c r="AX79" s="16">
        <v>99</v>
      </c>
      <c r="AY79" s="16">
        <v>0</v>
      </c>
      <c r="AZ79" s="16">
        <v>1</v>
      </c>
      <c r="BA79" s="16">
        <f t="shared" si="57"/>
        <v>99</v>
      </c>
      <c r="BB79" s="20">
        <f>AY79*AZ79</f>
        <v>0</v>
      </c>
      <c r="BC79" s="16">
        <f t="shared" ref="BC79:BC101" si="68">BA79+BB79</f>
        <v>99</v>
      </c>
      <c r="BE79" s="20" t="s">
        <v>7</v>
      </c>
      <c r="BF79" s="16">
        <v>86</v>
      </c>
      <c r="BG79" s="16">
        <v>0</v>
      </c>
      <c r="BH79" s="16">
        <v>1</v>
      </c>
      <c r="BI79" s="16">
        <f t="shared" si="58"/>
        <v>86</v>
      </c>
      <c r="BJ79" s="20">
        <f>BG79*BH79</f>
        <v>0</v>
      </c>
      <c r="BK79" s="16">
        <f t="shared" ref="BK79:BK101" si="69">BI79+BJ79</f>
        <v>86</v>
      </c>
      <c r="BM79" s="20" t="s">
        <v>7</v>
      </c>
      <c r="BN79" s="16">
        <v>33</v>
      </c>
      <c r="BO79" s="16">
        <v>223</v>
      </c>
      <c r="BP79" s="16">
        <v>1</v>
      </c>
      <c r="BQ79" s="16">
        <f t="shared" si="59"/>
        <v>33</v>
      </c>
      <c r="BR79" s="20">
        <f>BO79*BP79</f>
        <v>223</v>
      </c>
      <c r="BS79" s="16">
        <f t="shared" ref="BS79:BS101" si="70">BQ79+BR79</f>
        <v>256</v>
      </c>
      <c r="BU79" s="20" t="s">
        <v>7</v>
      </c>
      <c r="BV79" s="16">
        <v>158</v>
      </c>
      <c r="BW79" s="16">
        <v>264</v>
      </c>
      <c r="BX79" s="16">
        <v>1</v>
      </c>
      <c r="BY79" s="16">
        <f t="shared" si="60"/>
        <v>158</v>
      </c>
      <c r="BZ79" s="20">
        <f>BW79*BX79</f>
        <v>264</v>
      </c>
      <c r="CA79" s="89">
        <f t="shared" ref="CA79:CA101" si="71">BY79+BZ79</f>
        <v>422</v>
      </c>
      <c r="CC79" s="20" t="s">
        <v>7</v>
      </c>
      <c r="CD79" s="16">
        <v>114</v>
      </c>
      <c r="CE79" s="16">
        <v>398</v>
      </c>
      <c r="CF79" s="16">
        <v>1</v>
      </c>
      <c r="CG79" s="16">
        <f t="shared" si="61"/>
        <v>114</v>
      </c>
      <c r="CH79" s="20">
        <f>CE79*CF79</f>
        <v>398</v>
      </c>
      <c r="CI79" s="92">
        <f t="shared" ref="CI79:CI101" si="72">CG79+CH79</f>
        <v>512</v>
      </c>
      <c r="CK79" s="20" t="s">
        <v>7</v>
      </c>
      <c r="CL79" s="16">
        <v>54</v>
      </c>
      <c r="CM79" s="16">
        <v>271</v>
      </c>
      <c r="CN79" s="16">
        <v>1</v>
      </c>
      <c r="CO79" s="16">
        <f t="shared" si="62"/>
        <v>54</v>
      </c>
      <c r="CP79" s="20">
        <f>CM79*CN79</f>
        <v>271</v>
      </c>
      <c r="CQ79" s="16">
        <f t="shared" ref="CQ79:CQ101" si="73">CO79+CP79</f>
        <v>325</v>
      </c>
    </row>
    <row r="80" spans="1:95">
      <c r="A80" s="20" t="s">
        <v>8</v>
      </c>
      <c r="B80" s="16">
        <v>452</v>
      </c>
      <c r="C80" s="16">
        <v>330</v>
      </c>
      <c r="D80" s="16">
        <v>0.5</v>
      </c>
      <c r="E80" s="92">
        <f t="shared" si="51"/>
        <v>226</v>
      </c>
      <c r="F80" s="90">
        <f t="shared" ref="F80:F101" si="74">C80*D80</f>
        <v>165</v>
      </c>
      <c r="G80" s="89">
        <f t="shared" si="63"/>
        <v>391</v>
      </c>
      <c r="H80" s="1"/>
      <c r="I80" s="20" t="s">
        <v>8</v>
      </c>
      <c r="J80" s="16">
        <v>487</v>
      </c>
      <c r="K80" s="16">
        <f>300+693</f>
        <v>993</v>
      </c>
      <c r="L80" s="16">
        <v>0.5</v>
      </c>
      <c r="M80" s="16">
        <f t="shared" si="52"/>
        <v>243.5</v>
      </c>
      <c r="N80" s="20">
        <f>K80*L80</f>
        <v>496.5</v>
      </c>
      <c r="O80" s="89">
        <f>M80+N80</f>
        <v>740</v>
      </c>
      <c r="P80" s="1" t="s">
        <v>91</v>
      </c>
      <c r="Q80" s="20" t="s">
        <v>8</v>
      </c>
      <c r="R80" s="16">
        <v>366</v>
      </c>
      <c r="S80" s="16">
        <f>114+783</f>
        <v>897</v>
      </c>
      <c r="T80" s="16">
        <v>0.5</v>
      </c>
      <c r="U80" s="16">
        <f t="shared" si="53"/>
        <v>183</v>
      </c>
      <c r="V80" s="20">
        <f t="shared" ref="V80:V101" si="75">S80*T80</f>
        <v>448.5</v>
      </c>
      <c r="W80" s="89">
        <f t="shared" si="64"/>
        <v>631.5</v>
      </c>
      <c r="X80" s="1" t="s">
        <v>92</v>
      </c>
      <c r="Y80" s="20" t="s">
        <v>8</v>
      </c>
      <c r="Z80" s="16">
        <v>468</v>
      </c>
      <c r="AA80" s="16">
        <f>206+174</f>
        <v>380</v>
      </c>
      <c r="AB80" s="16">
        <v>0.5</v>
      </c>
      <c r="AC80" s="16">
        <f t="shared" si="54"/>
        <v>234</v>
      </c>
      <c r="AD80" s="20">
        <f t="shared" ref="AD80:AD100" si="76">AA80*AB80</f>
        <v>190</v>
      </c>
      <c r="AE80" s="89">
        <f t="shared" si="65"/>
        <v>424</v>
      </c>
      <c r="AF80" s="1" t="s">
        <v>93</v>
      </c>
      <c r="AG80" s="20" t="s">
        <v>8</v>
      </c>
      <c r="AH80" s="16">
        <v>504</v>
      </c>
      <c r="AI80" s="16">
        <v>340</v>
      </c>
      <c r="AJ80" s="16">
        <v>0.5</v>
      </c>
      <c r="AK80" s="16">
        <f t="shared" si="55"/>
        <v>252</v>
      </c>
      <c r="AL80" s="20">
        <f t="shared" ref="AL80:AL99" si="77">AI80*AJ80</f>
        <v>170</v>
      </c>
      <c r="AM80" s="16">
        <f t="shared" si="66"/>
        <v>422</v>
      </c>
      <c r="AN80" s="1" t="s">
        <v>109</v>
      </c>
      <c r="AO80" s="20" t="s">
        <v>8</v>
      </c>
      <c r="AP80" s="16">
        <v>488</v>
      </c>
      <c r="AQ80" s="16">
        <v>140</v>
      </c>
      <c r="AR80" s="16">
        <v>0.5</v>
      </c>
      <c r="AS80" s="16">
        <f t="shared" si="56"/>
        <v>244</v>
      </c>
      <c r="AT80" s="20">
        <f t="shared" ref="AT80:AT101" si="78">AQ80*AR80</f>
        <v>70</v>
      </c>
      <c r="AU80" s="16">
        <f t="shared" si="67"/>
        <v>314</v>
      </c>
      <c r="AV80" s="1" t="s">
        <v>115</v>
      </c>
      <c r="AW80" s="20" t="s">
        <v>8</v>
      </c>
      <c r="AX80" s="16">
        <v>154</v>
      </c>
      <c r="AY80" s="16">
        <v>148</v>
      </c>
      <c r="AZ80" s="16">
        <v>0.5</v>
      </c>
      <c r="BA80" s="16">
        <f t="shared" si="57"/>
        <v>77</v>
      </c>
      <c r="BB80" s="20">
        <f t="shared" ref="BB80:BB101" si="79">AY80*AZ80</f>
        <v>74</v>
      </c>
      <c r="BC80" s="16">
        <f t="shared" si="68"/>
        <v>151</v>
      </c>
      <c r="BE80" s="20" t="s">
        <v>8</v>
      </c>
      <c r="BF80" s="16">
        <v>318</v>
      </c>
      <c r="BG80" s="16">
        <v>101</v>
      </c>
      <c r="BH80" s="16">
        <v>0.5</v>
      </c>
      <c r="BI80" s="16">
        <f t="shared" si="58"/>
        <v>159</v>
      </c>
      <c r="BJ80" s="20">
        <f t="shared" ref="BJ80:BJ101" si="80">BG80*BH80</f>
        <v>50.5</v>
      </c>
      <c r="BK80" s="16">
        <f t="shared" si="69"/>
        <v>209.5</v>
      </c>
      <c r="BL80" s="1" t="s">
        <v>127</v>
      </c>
      <c r="BM80" s="20" t="s">
        <v>8</v>
      </c>
      <c r="BN80" s="16">
        <v>238</v>
      </c>
      <c r="BO80" s="16">
        <v>227</v>
      </c>
      <c r="BP80" s="16">
        <v>0.5</v>
      </c>
      <c r="BQ80" s="16">
        <f t="shared" si="59"/>
        <v>119</v>
      </c>
      <c r="BR80" s="110">
        <f t="shared" ref="BR80:BR101" si="81">BO80*BP80</f>
        <v>113.5</v>
      </c>
      <c r="BS80" s="16">
        <f t="shared" si="70"/>
        <v>232.5</v>
      </c>
      <c r="BU80" s="20" t="s">
        <v>8</v>
      </c>
      <c r="BV80" s="16">
        <v>226</v>
      </c>
      <c r="BW80" s="16">
        <v>195</v>
      </c>
      <c r="BX80" s="16">
        <v>0.5</v>
      </c>
      <c r="BY80" s="16">
        <f t="shared" si="60"/>
        <v>113</v>
      </c>
      <c r="BZ80" s="20">
        <f t="shared" ref="BZ80:BZ101" si="82">BW80*BX80</f>
        <v>97.5</v>
      </c>
      <c r="CA80" s="89">
        <f t="shared" si="71"/>
        <v>210.5</v>
      </c>
      <c r="CC80" s="20" t="s">
        <v>8</v>
      </c>
      <c r="CD80" s="16">
        <v>398</v>
      </c>
      <c r="CE80" s="16">
        <v>782</v>
      </c>
      <c r="CF80" s="16">
        <v>0.5</v>
      </c>
      <c r="CG80" s="16">
        <f t="shared" si="61"/>
        <v>199</v>
      </c>
      <c r="CH80" s="20">
        <f t="shared" ref="CH80:CH101" si="83">CE80*CF80</f>
        <v>391</v>
      </c>
      <c r="CI80" s="92">
        <f t="shared" si="72"/>
        <v>590</v>
      </c>
      <c r="CK80" s="20" t="s">
        <v>8</v>
      </c>
      <c r="CL80" s="16">
        <v>262</v>
      </c>
      <c r="CM80" s="16">
        <v>1242</v>
      </c>
      <c r="CN80" s="16">
        <v>0.5</v>
      </c>
      <c r="CO80" s="16">
        <f t="shared" si="62"/>
        <v>131</v>
      </c>
      <c r="CP80" s="20">
        <f t="shared" ref="CP80:CP101" si="84">CM80*CN80</f>
        <v>621</v>
      </c>
      <c r="CQ80" s="16">
        <f t="shared" si="73"/>
        <v>752</v>
      </c>
    </row>
    <row r="81" spans="1:95">
      <c r="A81" s="20" t="s">
        <v>9</v>
      </c>
      <c r="B81" s="16">
        <v>0</v>
      </c>
      <c r="C81" s="16">
        <v>0</v>
      </c>
      <c r="D81" s="16">
        <v>0.59</v>
      </c>
      <c r="E81" s="92">
        <f t="shared" si="51"/>
        <v>0</v>
      </c>
      <c r="F81" s="90">
        <f t="shared" si="74"/>
        <v>0</v>
      </c>
      <c r="G81" s="89">
        <f t="shared" si="63"/>
        <v>0</v>
      </c>
      <c r="I81" s="20" t="s">
        <v>9</v>
      </c>
      <c r="J81" s="16">
        <v>0</v>
      </c>
      <c r="K81" s="16">
        <v>0</v>
      </c>
      <c r="L81" s="16">
        <v>0.59</v>
      </c>
      <c r="M81" s="16">
        <f t="shared" si="52"/>
        <v>0</v>
      </c>
      <c r="N81" s="20">
        <f t="shared" ref="N81:N101" si="85">K81*L81</f>
        <v>0</v>
      </c>
      <c r="O81" s="89">
        <f t="shared" ref="O81:O101" si="86">M81+N81</f>
        <v>0</v>
      </c>
      <c r="Q81" s="20" t="s">
        <v>9</v>
      </c>
      <c r="R81" s="16">
        <v>0</v>
      </c>
      <c r="S81" s="16">
        <v>0</v>
      </c>
      <c r="T81" s="16">
        <v>0.59</v>
      </c>
      <c r="U81" s="16">
        <f t="shared" si="53"/>
        <v>0</v>
      </c>
      <c r="V81" s="20">
        <f t="shared" si="75"/>
        <v>0</v>
      </c>
      <c r="W81" s="89">
        <f t="shared" si="64"/>
        <v>0</v>
      </c>
      <c r="Y81" s="20" t="s">
        <v>9</v>
      </c>
      <c r="Z81" s="16">
        <v>0</v>
      </c>
      <c r="AA81" s="16">
        <v>0</v>
      </c>
      <c r="AB81" s="16">
        <v>0.59</v>
      </c>
      <c r="AC81" s="16">
        <f t="shared" si="54"/>
        <v>0</v>
      </c>
      <c r="AD81" s="20">
        <f t="shared" si="76"/>
        <v>0</v>
      </c>
      <c r="AE81" s="89">
        <f t="shared" si="65"/>
        <v>0</v>
      </c>
      <c r="AG81" s="20" t="s">
        <v>9</v>
      </c>
      <c r="AH81" s="16">
        <v>0</v>
      </c>
      <c r="AI81" s="16">
        <v>162</v>
      </c>
      <c r="AJ81" s="16">
        <v>0.59</v>
      </c>
      <c r="AK81" s="16">
        <f t="shared" si="55"/>
        <v>0</v>
      </c>
      <c r="AL81" s="20">
        <f t="shared" si="77"/>
        <v>95.58</v>
      </c>
      <c r="AM81" s="16">
        <f t="shared" si="66"/>
        <v>95.58</v>
      </c>
      <c r="AN81" s="1" t="s">
        <v>110</v>
      </c>
      <c r="AO81" s="20" t="s">
        <v>9</v>
      </c>
      <c r="AP81" s="16">
        <v>0</v>
      </c>
      <c r="AQ81" s="16">
        <v>0</v>
      </c>
      <c r="AR81" s="16">
        <v>0.59</v>
      </c>
      <c r="AS81" s="16">
        <f t="shared" si="56"/>
        <v>0</v>
      </c>
      <c r="AT81" s="20">
        <f t="shared" si="78"/>
        <v>0</v>
      </c>
      <c r="AU81" s="16">
        <f t="shared" si="67"/>
        <v>0</v>
      </c>
      <c r="AW81" s="20" t="s">
        <v>9</v>
      </c>
      <c r="AX81" s="16">
        <v>0</v>
      </c>
      <c r="AY81" s="16">
        <v>130</v>
      </c>
      <c r="AZ81" s="16">
        <v>0.59</v>
      </c>
      <c r="BA81" s="16">
        <f t="shared" si="57"/>
        <v>0</v>
      </c>
      <c r="BB81" s="20">
        <f t="shared" si="79"/>
        <v>76.7</v>
      </c>
      <c r="BC81" s="16">
        <f t="shared" si="68"/>
        <v>76.7</v>
      </c>
      <c r="BD81" s="1" t="s">
        <v>121</v>
      </c>
      <c r="BE81" s="20" t="s">
        <v>9</v>
      </c>
      <c r="BF81" s="16">
        <v>0</v>
      </c>
      <c r="BG81" s="16">
        <v>82</v>
      </c>
      <c r="BH81" s="16">
        <v>0.59</v>
      </c>
      <c r="BI81" s="16">
        <f t="shared" si="58"/>
        <v>0</v>
      </c>
      <c r="BJ81" s="20">
        <f t="shared" si="80"/>
        <v>48.379999999999995</v>
      </c>
      <c r="BK81" s="16">
        <f t="shared" si="69"/>
        <v>48.379999999999995</v>
      </c>
      <c r="BL81" s="1" t="s">
        <v>128</v>
      </c>
      <c r="BM81" s="20" t="s">
        <v>9</v>
      </c>
      <c r="BN81" s="16">
        <v>0</v>
      </c>
      <c r="BO81" s="16">
        <v>0</v>
      </c>
      <c r="BP81" s="16">
        <v>0.59</v>
      </c>
      <c r="BQ81" s="16">
        <f t="shared" si="59"/>
        <v>0</v>
      </c>
      <c r="BR81" s="20">
        <f t="shared" si="81"/>
        <v>0</v>
      </c>
      <c r="BS81" s="16">
        <f t="shared" si="70"/>
        <v>0</v>
      </c>
      <c r="BU81" s="20" t="s">
        <v>9</v>
      </c>
      <c r="BV81" s="16">
        <v>0</v>
      </c>
      <c r="BW81" s="16">
        <v>0</v>
      </c>
      <c r="BX81" s="16">
        <v>0.59</v>
      </c>
      <c r="BY81" s="16">
        <f t="shared" si="60"/>
        <v>0</v>
      </c>
      <c r="BZ81" s="20">
        <f t="shared" si="82"/>
        <v>0</v>
      </c>
      <c r="CA81" s="89">
        <f t="shared" si="71"/>
        <v>0</v>
      </c>
      <c r="CC81" s="20" t="s">
        <v>9</v>
      </c>
      <c r="CD81" s="16">
        <v>0</v>
      </c>
      <c r="CE81" s="16"/>
      <c r="CF81" s="16">
        <v>0.59</v>
      </c>
      <c r="CG81" s="16">
        <f t="shared" si="61"/>
        <v>0</v>
      </c>
      <c r="CH81" s="20">
        <f t="shared" si="83"/>
        <v>0</v>
      </c>
      <c r="CI81" s="92">
        <f t="shared" si="72"/>
        <v>0</v>
      </c>
      <c r="CK81" s="20" t="s">
        <v>9</v>
      </c>
      <c r="CL81" s="16">
        <v>0</v>
      </c>
      <c r="CM81" s="16">
        <v>0</v>
      </c>
      <c r="CN81" s="16">
        <v>0.59</v>
      </c>
      <c r="CO81" s="16">
        <f t="shared" si="62"/>
        <v>0</v>
      </c>
      <c r="CP81" s="20">
        <f t="shared" si="84"/>
        <v>0</v>
      </c>
      <c r="CQ81" s="16">
        <f t="shared" si="73"/>
        <v>0</v>
      </c>
    </row>
    <row r="82" spans="1:95">
      <c r="A82" s="20" t="s">
        <v>10</v>
      </c>
      <c r="B82" s="16">
        <v>0</v>
      </c>
      <c r="C82" s="16">
        <v>0</v>
      </c>
      <c r="D82" s="16">
        <v>0.15</v>
      </c>
      <c r="E82" s="92">
        <f t="shared" si="51"/>
        <v>0</v>
      </c>
      <c r="F82" s="90">
        <f t="shared" si="74"/>
        <v>0</v>
      </c>
      <c r="G82" s="89">
        <f t="shared" si="63"/>
        <v>0</v>
      </c>
      <c r="I82" s="20" t="s">
        <v>10</v>
      </c>
      <c r="J82" s="16">
        <v>0</v>
      </c>
      <c r="K82" s="16">
        <v>0</v>
      </c>
      <c r="L82" s="16">
        <v>0.15</v>
      </c>
      <c r="M82" s="16">
        <f t="shared" si="52"/>
        <v>0</v>
      </c>
      <c r="N82" s="20">
        <f t="shared" si="85"/>
        <v>0</v>
      </c>
      <c r="O82" s="89">
        <f t="shared" si="86"/>
        <v>0</v>
      </c>
      <c r="Q82" s="20" t="s">
        <v>10</v>
      </c>
      <c r="R82" s="16">
        <v>0</v>
      </c>
      <c r="S82" s="16">
        <v>0</v>
      </c>
      <c r="T82" s="16">
        <v>0.15</v>
      </c>
      <c r="U82" s="16">
        <f t="shared" si="53"/>
        <v>0</v>
      </c>
      <c r="V82" s="20">
        <f t="shared" si="75"/>
        <v>0</v>
      </c>
      <c r="W82" s="89">
        <f t="shared" si="64"/>
        <v>0</v>
      </c>
      <c r="Y82" s="20" t="s">
        <v>10</v>
      </c>
      <c r="Z82" s="16">
        <v>0</v>
      </c>
      <c r="AA82" s="16">
        <v>0</v>
      </c>
      <c r="AB82" s="16">
        <v>0.15</v>
      </c>
      <c r="AC82" s="16">
        <f t="shared" si="54"/>
        <v>0</v>
      </c>
      <c r="AD82" s="20">
        <f t="shared" si="76"/>
        <v>0</v>
      </c>
      <c r="AE82" s="89">
        <f t="shared" si="65"/>
        <v>0</v>
      </c>
      <c r="AG82" s="20" t="s">
        <v>10</v>
      </c>
      <c r="AH82" s="16">
        <v>0</v>
      </c>
      <c r="AI82" s="16"/>
      <c r="AJ82" s="16">
        <v>0.15</v>
      </c>
      <c r="AK82" s="16">
        <f t="shared" si="55"/>
        <v>0</v>
      </c>
      <c r="AL82" s="20">
        <f t="shared" si="77"/>
        <v>0</v>
      </c>
      <c r="AM82" s="16">
        <f t="shared" si="66"/>
        <v>0</v>
      </c>
      <c r="AO82" s="20" t="s">
        <v>10</v>
      </c>
      <c r="AP82" s="16">
        <v>0</v>
      </c>
      <c r="AQ82" s="16">
        <v>0</v>
      </c>
      <c r="AR82" s="16">
        <v>0.15</v>
      </c>
      <c r="AS82" s="16">
        <f t="shared" si="56"/>
        <v>0</v>
      </c>
      <c r="AT82" s="20">
        <f t="shared" si="78"/>
        <v>0</v>
      </c>
      <c r="AU82" s="16">
        <f t="shared" si="67"/>
        <v>0</v>
      </c>
      <c r="AW82" s="20" t="s">
        <v>10</v>
      </c>
      <c r="AX82" s="16">
        <v>0</v>
      </c>
      <c r="AY82" s="16">
        <v>0</v>
      </c>
      <c r="AZ82" s="16">
        <v>0.15</v>
      </c>
      <c r="BA82" s="16">
        <f t="shared" si="57"/>
        <v>0</v>
      </c>
      <c r="BB82" s="20">
        <f t="shared" si="79"/>
        <v>0</v>
      </c>
      <c r="BC82" s="16">
        <f t="shared" si="68"/>
        <v>0</v>
      </c>
      <c r="BE82" s="20" t="s">
        <v>10</v>
      </c>
      <c r="BF82" s="16">
        <v>0</v>
      </c>
      <c r="BG82" s="16">
        <v>0</v>
      </c>
      <c r="BH82" s="16">
        <v>0.15</v>
      </c>
      <c r="BI82" s="16">
        <f t="shared" si="58"/>
        <v>0</v>
      </c>
      <c r="BJ82" s="20">
        <f t="shared" si="80"/>
        <v>0</v>
      </c>
      <c r="BK82" s="16">
        <f t="shared" si="69"/>
        <v>0</v>
      </c>
      <c r="BM82" s="20" t="s">
        <v>10</v>
      </c>
      <c r="BN82" s="16">
        <v>0</v>
      </c>
      <c r="BO82" s="16">
        <v>0</v>
      </c>
      <c r="BP82" s="16">
        <v>0.15</v>
      </c>
      <c r="BQ82" s="16">
        <f t="shared" si="59"/>
        <v>0</v>
      </c>
      <c r="BR82" s="20">
        <f t="shared" si="81"/>
        <v>0</v>
      </c>
      <c r="BS82" s="16">
        <f t="shared" si="70"/>
        <v>0</v>
      </c>
      <c r="BU82" s="20" t="s">
        <v>10</v>
      </c>
      <c r="BV82" s="16">
        <v>0</v>
      </c>
      <c r="BW82" s="16">
        <v>0</v>
      </c>
      <c r="BX82" s="16">
        <v>0.15</v>
      </c>
      <c r="BY82" s="16">
        <f t="shared" si="60"/>
        <v>0</v>
      </c>
      <c r="BZ82" s="20">
        <f t="shared" si="82"/>
        <v>0</v>
      </c>
      <c r="CA82" s="89">
        <f t="shared" si="71"/>
        <v>0</v>
      </c>
      <c r="CC82" s="20" t="s">
        <v>10</v>
      </c>
      <c r="CD82" s="16">
        <v>0</v>
      </c>
      <c r="CE82" s="16"/>
      <c r="CF82" s="16">
        <v>0.15</v>
      </c>
      <c r="CG82" s="16">
        <f t="shared" si="61"/>
        <v>0</v>
      </c>
      <c r="CH82" s="20">
        <f t="shared" si="83"/>
        <v>0</v>
      </c>
      <c r="CI82" s="92">
        <f t="shared" si="72"/>
        <v>0</v>
      </c>
      <c r="CK82" s="20" t="s">
        <v>10</v>
      </c>
      <c r="CL82" s="16">
        <v>0</v>
      </c>
      <c r="CM82" s="16">
        <v>0</v>
      </c>
      <c r="CN82" s="16">
        <v>0.15</v>
      </c>
      <c r="CO82" s="16">
        <f t="shared" si="62"/>
        <v>0</v>
      </c>
      <c r="CP82" s="20">
        <f t="shared" si="84"/>
        <v>0</v>
      </c>
      <c r="CQ82" s="16">
        <f t="shared" si="73"/>
        <v>0</v>
      </c>
    </row>
    <row r="83" spans="1:95">
      <c r="A83" s="20" t="s">
        <v>11</v>
      </c>
      <c r="B83" s="16">
        <v>171</v>
      </c>
      <c r="C83" s="16">
        <v>0</v>
      </c>
      <c r="D83" s="16">
        <v>1</v>
      </c>
      <c r="E83" s="92">
        <f t="shared" si="51"/>
        <v>171</v>
      </c>
      <c r="F83" s="90">
        <f t="shared" si="74"/>
        <v>0</v>
      </c>
      <c r="G83" s="89">
        <f t="shared" si="63"/>
        <v>171</v>
      </c>
      <c r="I83" s="20" t="s">
        <v>11</v>
      </c>
      <c r="J83" s="16">
        <v>148</v>
      </c>
      <c r="K83" s="16">
        <v>0</v>
      </c>
      <c r="L83" s="16">
        <v>1</v>
      </c>
      <c r="M83" s="16">
        <f t="shared" si="52"/>
        <v>148</v>
      </c>
      <c r="N83" s="20">
        <f t="shared" si="85"/>
        <v>0</v>
      </c>
      <c r="O83" s="89">
        <f t="shared" si="86"/>
        <v>148</v>
      </c>
      <c r="Q83" s="20" t="s">
        <v>11</v>
      </c>
      <c r="R83" s="16">
        <v>124</v>
      </c>
      <c r="S83" s="16">
        <v>0</v>
      </c>
      <c r="T83" s="16">
        <v>1</v>
      </c>
      <c r="U83" s="16">
        <f t="shared" si="53"/>
        <v>124</v>
      </c>
      <c r="V83" s="20">
        <f t="shared" si="75"/>
        <v>0</v>
      </c>
      <c r="W83" s="89">
        <f t="shared" si="64"/>
        <v>124</v>
      </c>
      <c r="Y83" s="20" t="s">
        <v>11</v>
      </c>
      <c r="Z83" s="16">
        <v>134</v>
      </c>
      <c r="AA83" s="16">
        <v>0</v>
      </c>
      <c r="AB83" s="16">
        <v>1</v>
      </c>
      <c r="AC83" s="16">
        <f t="shared" si="54"/>
        <v>134</v>
      </c>
      <c r="AD83" s="20">
        <f t="shared" si="76"/>
        <v>0</v>
      </c>
      <c r="AE83" s="89">
        <f t="shared" si="65"/>
        <v>134</v>
      </c>
      <c r="AG83" s="20" t="s">
        <v>11</v>
      </c>
      <c r="AH83" s="16">
        <v>146</v>
      </c>
      <c r="AI83" s="16"/>
      <c r="AJ83" s="16">
        <v>1</v>
      </c>
      <c r="AK83" s="16">
        <f t="shared" si="55"/>
        <v>146</v>
      </c>
      <c r="AL83" s="20">
        <f t="shared" si="77"/>
        <v>0</v>
      </c>
      <c r="AM83" s="16">
        <f t="shared" si="66"/>
        <v>146</v>
      </c>
      <c r="AO83" s="20" t="s">
        <v>11</v>
      </c>
      <c r="AP83" s="16">
        <v>86</v>
      </c>
      <c r="AQ83" s="16">
        <v>0</v>
      </c>
      <c r="AR83" s="16">
        <v>1</v>
      </c>
      <c r="AS83" s="16">
        <f t="shared" si="56"/>
        <v>86</v>
      </c>
      <c r="AT83" s="20">
        <f t="shared" si="78"/>
        <v>0</v>
      </c>
      <c r="AU83" s="16">
        <f t="shared" si="67"/>
        <v>86</v>
      </c>
      <c r="AW83" s="20" t="s">
        <v>11</v>
      </c>
      <c r="AX83" s="16">
        <v>99</v>
      </c>
      <c r="AY83" s="16">
        <v>0</v>
      </c>
      <c r="AZ83" s="16">
        <v>1</v>
      </c>
      <c r="BA83" s="16">
        <f t="shared" si="57"/>
        <v>99</v>
      </c>
      <c r="BB83" s="20">
        <f t="shared" si="79"/>
        <v>0</v>
      </c>
      <c r="BC83" s="16">
        <f t="shared" si="68"/>
        <v>99</v>
      </c>
      <c r="BE83" s="20" t="s">
        <v>11</v>
      </c>
      <c r="BF83" s="16">
        <v>109</v>
      </c>
      <c r="BG83" s="16">
        <v>0</v>
      </c>
      <c r="BH83" s="16">
        <v>1</v>
      </c>
      <c r="BI83" s="16">
        <f t="shared" si="58"/>
        <v>109</v>
      </c>
      <c r="BJ83" s="20">
        <f t="shared" si="80"/>
        <v>0</v>
      </c>
      <c r="BK83" s="16">
        <f t="shared" si="69"/>
        <v>109</v>
      </c>
      <c r="BM83" s="20" t="s">
        <v>11</v>
      </c>
      <c r="BN83" s="16">
        <v>96</v>
      </c>
      <c r="BO83" s="16">
        <v>168</v>
      </c>
      <c r="BP83" s="16">
        <v>1</v>
      </c>
      <c r="BQ83" s="16">
        <f t="shared" si="59"/>
        <v>96</v>
      </c>
      <c r="BR83" s="20">
        <f t="shared" si="81"/>
        <v>168</v>
      </c>
      <c r="BS83" s="16">
        <f t="shared" si="70"/>
        <v>264</v>
      </c>
      <c r="BU83" s="20" t="s">
        <v>11</v>
      </c>
      <c r="BV83" s="16">
        <v>172</v>
      </c>
      <c r="BW83" s="16">
        <v>146</v>
      </c>
      <c r="BX83" s="16">
        <v>1</v>
      </c>
      <c r="BY83" s="16">
        <f t="shared" si="60"/>
        <v>172</v>
      </c>
      <c r="BZ83" s="20">
        <f t="shared" si="82"/>
        <v>146</v>
      </c>
      <c r="CA83" s="89">
        <f t="shared" si="71"/>
        <v>318</v>
      </c>
      <c r="CC83" s="20" t="s">
        <v>11</v>
      </c>
      <c r="CD83" s="16">
        <v>189</v>
      </c>
      <c r="CE83" s="16">
        <v>78</v>
      </c>
      <c r="CF83" s="16">
        <v>1</v>
      </c>
      <c r="CG83" s="16">
        <f t="shared" si="61"/>
        <v>189</v>
      </c>
      <c r="CH83" s="20">
        <f t="shared" si="83"/>
        <v>78</v>
      </c>
      <c r="CI83" s="92">
        <f t="shared" si="72"/>
        <v>267</v>
      </c>
      <c r="CK83" s="20" t="s">
        <v>11</v>
      </c>
      <c r="CL83" s="16">
        <v>156</v>
      </c>
      <c r="CM83" s="16">
        <v>360</v>
      </c>
      <c r="CN83" s="16">
        <v>1</v>
      </c>
      <c r="CO83" s="16">
        <f t="shared" si="62"/>
        <v>156</v>
      </c>
      <c r="CP83" s="20">
        <f t="shared" si="84"/>
        <v>360</v>
      </c>
      <c r="CQ83" s="16">
        <f t="shared" si="73"/>
        <v>516</v>
      </c>
    </row>
    <row r="84" spans="1:95">
      <c r="A84" s="20" t="s">
        <v>12</v>
      </c>
      <c r="B84" s="16">
        <v>21</v>
      </c>
      <c r="C84" s="16">
        <v>0</v>
      </c>
      <c r="D84" s="16">
        <v>1</v>
      </c>
      <c r="E84" s="92">
        <f t="shared" si="51"/>
        <v>21</v>
      </c>
      <c r="F84" s="90">
        <f t="shared" si="74"/>
        <v>0</v>
      </c>
      <c r="G84" s="89">
        <f t="shared" si="63"/>
        <v>21</v>
      </c>
      <c r="I84" s="20" t="s">
        <v>12</v>
      </c>
      <c r="J84" s="16">
        <v>22</v>
      </c>
      <c r="K84" s="16">
        <v>0</v>
      </c>
      <c r="L84" s="16">
        <v>1</v>
      </c>
      <c r="M84" s="16">
        <f t="shared" si="52"/>
        <v>22</v>
      </c>
      <c r="N84" s="20">
        <f t="shared" si="85"/>
        <v>0</v>
      </c>
      <c r="O84" s="89">
        <f t="shared" si="86"/>
        <v>22</v>
      </c>
      <c r="Q84" s="20" t="s">
        <v>12</v>
      </c>
      <c r="R84" s="16">
        <v>12</v>
      </c>
      <c r="S84" s="16">
        <v>0</v>
      </c>
      <c r="T84" s="16">
        <v>1</v>
      </c>
      <c r="U84" s="16">
        <f t="shared" si="53"/>
        <v>12</v>
      </c>
      <c r="V84" s="20">
        <f t="shared" si="75"/>
        <v>0</v>
      </c>
      <c r="W84" s="89">
        <f t="shared" si="64"/>
        <v>12</v>
      </c>
      <c r="Y84" s="20" t="s">
        <v>12</v>
      </c>
      <c r="Z84" s="16">
        <v>41</v>
      </c>
      <c r="AA84" s="16">
        <v>0</v>
      </c>
      <c r="AB84" s="16">
        <v>1</v>
      </c>
      <c r="AC84" s="16">
        <f t="shared" si="54"/>
        <v>41</v>
      </c>
      <c r="AD84" s="20">
        <f t="shared" si="76"/>
        <v>0</v>
      </c>
      <c r="AE84" s="89">
        <f t="shared" si="65"/>
        <v>41</v>
      </c>
      <c r="AG84" s="20" t="s">
        <v>12</v>
      </c>
      <c r="AH84" s="16">
        <v>47</v>
      </c>
      <c r="AI84" s="16"/>
      <c r="AJ84" s="16">
        <v>1</v>
      </c>
      <c r="AK84" s="16">
        <f t="shared" si="55"/>
        <v>47</v>
      </c>
      <c r="AL84" s="20">
        <f t="shared" si="77"/>
        <v>0</v>
      </c>
      <c r="AM84" s="16">
        <f t="shared" si="66"/>
        <v>47</v>
      </c>
      <c r="AO84" s="20" t="s">
        <v>12</v>
      </c>
      <c r="AP84" s="16">
        <v>98</v>
      </c>
      <c r="AQ84" s="16">
        <v>0</v>
      </c>
      <c r="AR84" s="16">
        <v>1</v>
      </c>
      <c r="AS84" s="16">
        <f t="shared" si="56"/>
        <v>98</v>
      </c>
      <c r="AT84" s="20">
        <f t="shared" si="78"/>
        <v>0</v>
      </c>
      <c r="AU84" s="16">
        <f t="shared" si="67"/>
        <v>98</v>
      </c>
      <c r="AW84" s="20" t="s">
        <v>12</v>
      </c>
      <c r="AX84" s="16">
        <v>17</v>
      </c>
      <c r="AY84" s="16">
        <v>0</v>
      </c>
      <c r="AZ84" s="16">
        <v>1</v>
      </c>
      <c r="BA84" s="16">
        <f t="shared" si="57"/>
        <v>17</v>
      </c>
      <c r="BB84" s="20">
        <f t="shared" si="79"/>
        <v>0</v>
      </c>
      <c r="BC84" s="16">
        <f t="shared" si="68"/>
        <v>17</v>
      </c>
      <c r="BE84" s="20" t="s">
        <v>12</v>
      </c>
      <c r="BF84" s="16">
        <v>90</v>
      </c>
      <c r="BG84" s="16">
        <v>0</v>
      </c>
      <c r="BH84" s="16">
        <v>1</v>
      </c>
      <c r="BI84" s="16">
        <f t="shared" si="58"/>
        <v>90</v>
      </c>
      <c r="BJ84" s="20">
        <f t="shared" si="80"/>
        <v>0</v>
      </c>
      <c r="BK84" s="16">
        <f t="shared" si="69"/>
        <v>90</v>
      </c>
      <c r="BM84" s="20" t="s">
        <v>12</v>
      </c>
      <c r="BN84" s="16">
        <v>23</v>
      </c>
      <c r="BO84" s="16">
        <v>0</v>
      </c>
      <c r="BP84" s="16">
        <v>1</v>
      </c>
      <c r="BQ84" s="16">
        <f t="shared" si="59"/>
        <v>23</v>
      </c>
      <c r="BR84" s="20">
        <f t="shared" si="81"/>
        <v>0</v>
      </c>
      <c r="BS84" s="16">
        <f t="shared" si="70"/>
        <v>23</v>
      </c>
      <c r="BU84" s="20" t="s">
        <v>12</v>
      </c>
      <c r="BV84" s="16">
        <v>163</v>
      </c>
      <c r="BW84" s="16">
        <v>0</v>
      </c>
      <c r="BX84" s="16">
        <v>1</v>
      </c>
      <c r="BY84" s="16">
        <f t="shared" si="60"/>
        <v>163</v>
      </c>
      <c r="BZ84" s="20">
        <f t="shared" si="82"/>
        <v>0</v>
      </c>
      <c r="CA84" s="89">
        <f t="shared" si="71"/>
        <v>163</v>
      </c>
      <c r="CC84" s="20" t="s">
        <v>12</v>
      </c>
      <c r="CD84" s="16">
        <v>96</v>
      </c>
      <c r="CE84" s="16">
        <v>54</v>
      </c>
      <c r="CF84" s="16">
        <v>1</v>
      </c>
      <c r="CG84" s="16">
        <f t="shared" si="61"/>
        <v>96</v>
      </c>
      <c r="CH84" s="20">
        <f t="shared" si="83"/>
        <v>54</v>
      </c>
      <c r="CI84" s="92">
        <f t="shared" si="72"/>
        <v>150</v>
      </c>
      <c r="CK84" s="20" t="s">
        <v>12</v>
      </c>
      <c r="CL84" s="16">
        <v>98</v>
      </c>
      <c r="CM84" s="16">
        <v>34</v>
      </c>
      <c r="CN84" s="16">
        <v>1</v>
      </c>
      <c r="CO84" s="16">
        <f t="shared" si="62"/>
        <v>98</v>
      </c>
      <c r="CP84" s="20">
        <f t="shared" si="84"/>
        <v>34</v>
      </c>
      <c r="CQ84" s="16">
        <f t="shared" si="73"/>
        <v>132</v>
      </c>
    </row>
    <row r="85" spans="1:95">
      <c r="A85" s="20" t="s">
        <v>13</v>
      </c>
      <c r="B85" s="16">
        <v>304</v>
      </c>
      <c r="C85" s="16">
        <v>402</v>
      </c>
      <c r="D85" s="16">
        <v>0.4</v>
      </c>
      <c r="E85" s="92">
        <f t="shared" si="51"/>
        <v>121.60000000000001</v>
      </c>
      <c r="F85" s="90">
        <f t="shared" si="74"/>
        <v>160.80000000000001</v>
      </c>
      <c r="G85" s="89">
        <f t="shared" si="63"/>
        <v>282.40000000000003</v>
      </c>
      <c r="I85" s="20" t="s">
        <v>13</v>
      </c>
      <c r="J85" s="16">
        <v>289</v>
      </c>
      <c r="K85" s="16">
        <v>75</v>
      </c>
      <c r="L85" s="16">
        <v>0.4</v>
      </c>
      <c r="M85" s="16">
        <f t="shared" si="52"/>
        <v>115.60000000000001</v>
      </c>
      <c r="N85" s="20">
        <f t="shared" si="85"/>
        <v>30</v>
      </c>
      <c r="O85" s="89">
        <f t="shared" si="86"/>
        <v>145.60000000000002</v>
      </c>
      <c r="Q85" s="20" t="s">
        <v>13</v>
      </c>
      <c r="R85" s="16">
        <v>199</v>
      </c>
      <c r="S85" s="16">
        <v>0</v>
      </c>
      <c r="T85" s="16">
        <v>0.4</v>
      </c>
      <c r="U85" s="16">
        <f t="shared" si="53"/>
        <v>79.600000000000009</v>
      </c>
      <c r="V85" s="20">
        <f t="shared" si="75"/>
        <v>0</v>
      </c>
      <c r="W85" s="89">
        <f t="shared" si="64"/>
        <v>79.600000000000009</v>
      </c>
      <c r="Y85" s="20" t="s">
        <v>13</v>
      </c>
      <c r="Z85" s="16">
        <v>263</v>
      </c>
      <c r="AA85" s="16">
        <v>0</v>
      </c>
      <c r="AB85" s="16">
        <v>0.4</v>
      </c>
      <c r="AC85" s="16">
        <f t="shared" si="54"/>
        <v>105.2</v>
      </c>
      <c r="AD85" s="20">
        <f t="shared" si="76"/>
        <v>0</v>
      </c>
      <c r="AE85" s="89">
        <f t="shared" si="65"/>
        <v>105.2</v>
      </c>
      <c r="AG85" s="20" t="s">
        <v>13</v>
      </c>
      <c r="AH85" s="16">
        <v>439</v>
      </c>
      <c r="AI85" s="16"/>
      <c r="AJ85" s="16">
        <v>0.4</v>
      </c>
      <c r="AK85" s="16">
        <f t="shared" si="55"/>
        <v>175.60000000000002</v>
      </c>
      <c r="AL85" s="20">
        <f t="shared" si="77"/>
        <v>0</v>
      </c>
      <c r="AM85" s="16">
        <f t="shared" si="66"/>
        <v>175.60000000000002</v>
      </c>
      <c r="AO85" s="20" t="s">
        <v>13</v>
      </c>
      <c r="AP85" s="16">
        <v>418</v>
      </c>
      <c r="AQ85" s="16">
        <v>87</v>
      </c>
      <c r="AR85" s="16">
        <v>0.4</v>
      </c>
      <c r="AS85" s="16">
        <f t="shared" si="56"/>
        <v>167.20000000000002</v>
      </c>
      <c r="AT85" s="20">
        <f t="shared" si="78"/>
        <v>34.800000000000004</v>
      </c>
      <c r="AU85" s="16">
        <f t="shared" si="67"/>
        <v>202.00000000000003</v>
      </c>
      <c r="AV85" s="1" t="s">
        <v>116</v>
      </c>
      <c r="AW85" s="20" t="s">
        <v>13</v>
      </c>
      <c r="AX85" s="16">
        <v>496</v>
      </c>
      <c r="AY85" s="16">
        <v>264</v>
      </c>
      <c r="AZ85" s="16">
        <v>0.4</v>
      </c>
      <c r="BA85" s="16">
        <f t="shared" si="57"/>
        <v>198.4</v>
      </c>
      <c r="BB85" s="20">
        <f t="shared" si="79"/>
        <v>105.60000000000001</v>
      </c>
      <c r="BC85" s="16">
        <f t="shared" si="68"/>
        <v>304</v>
      </c>
      <c r="BE85" s="20" t="s">
        <v>13</v>
      </c>
      <c r="BF85" s="16">
        <v>561</v>
      </c>
      <c r="BG85" s="16">
        <v>156</v>
      </c>
      <c r="BH85" s="16">
        <v>0.4</v>
      </c>
      <c r="BI85" s="16">
        <f t="shared" si="58"/>
        <v>224.4</v>
      </c>
      <c r="BJ85" s="20">
        <f t="shared" si="80"/>
        <v>62.400000000000006</v>
      </c>
      <c r="BK85" s="16">
        <f t="shared" si="69"/>
        <v>286.8</v>
      </c>
      <c r="BL85" s="1" t="s">
        <v>129</v>
      </c>
      <c r="BM85" s="20" t="s">
        <v>13</v>
      </c>
      <c r="BN85" s="16">
        <v>522</v>
      </c>
      <c r="BO85" s="16">
        <v>154</v>
      </c>
      <c r="BP85" s="16">
        <v>0.4</v>
      </c>
      <c r="BQ85" s="16">
        <f t="shared" si="59"/>
        <v>208.8</v>
      </c>
      <c r="BR85" s="20">
        <f t="shared" si="81"/>
        <v>61.6</v>
      </c>
      <c r="BS85" s="16">
        <f t="shared" si="70"/>
        <v>270.40000000000003</v>
      </c>
      <c r="BU85" s="20" t="s">
        <v>13</v>
      </c>
      <c r="BV85" s="16">
        <v>496</v>
      </c>
      <c r="BW85" s="16">
        <v>56</v>
      </c>
      <c r="BX85" s="16">
        <v>0.4</v>
      </c>
      <c r="BY85" s="16">
        <f t="shared" si="60"/>
        <v>198.4</v>
      </c>
      <c r="BZ85" s="20">
        <f t="shared" si="82"/>
        <v>22.400000000000002</v>
      </c>
      <c r="CA85" s="89">
        <f t="shared" si="71"/>
        <v>220.8</v>
      </c>
      <c r="CC85" s="20" t="s">
        <v>13</v>
      </c>
      <c r="CD85" s="16">
        <v>497</v>
      </c>
      <c r="CE85" s="16"/>
      <c r="CF85" s="16">
        <v>0.4</v>
      </c>
      <c r="CG85" s="16">
        <f t="shared" si="61"/>
        <v>198.8</v>
      </c>
      <c r="CH85" s="20">
        <f t="shared" si="83"/>
        <v>0</v>
      </c>
      <c r="CI85" s="92">
        <f t="shared" si="72"/>
        <v>198.8</v>
      </c>
      <c r="CK85" s="20" t="s">
        <v>13</v>
      </c>
      <c r="CL85" s="16">
        <v>343</v>
      </c>
      <c r="CM85" s="16">
        <v>420</v>
      </c>
      <c r="CN85" s="16">
        <v>0.4</v>
      </c>
      <c r="CO85" s="16">
        <f t="shared" si="62"/>
        <v>137.20000000000002</v>
      </c>
      <c r="CP85" s="20">
        <f t="shared" si="84"/>
        <v>168</v>
      </c>
      <c r="CQ85" s="16">
        <f t="shared" si="73"/>
        <v>305.20000000000005</v>
      </c>
    </row>
    <row r="86" spans="1:95">
      <c r="A86" s="20" t="s">
        <v>14</v>
      </c>
      <c r="B86" s="16">
        <v>85</v>
      </c>
      <c r="C86" s="16">
        <v>0</v>
      </c>
      <c r="D86" s="16">
        <v>0.7</v>
      </c>
      <c r="E86" s="92">
        <f t="shared" si="51"/>
        <v>59.499999999999993</v>
      </c>
      <c r="F86" s="90">
        <f t="shared" si="74"/>
        <v>0</v>
      </c>
      <c r="G86" s="89">
        <f t="shared" si="63"/>
        <v>59.499999999999993</v>
      </c>
      <c r="I86" s="20" t="s">
        <v>14</v>
      </c>
      <c r="J86" s="16">
        <v>61</v>
      </c>
      <c r="K86" s="16">
        <v>0</v>
      </c>
      <c r="L86" s="16">
        <v>0.7</v>
      </c>
      <c r="M86" s="16">
        <f t="shared" si="52"/>
        <v>42.699999999999996</v>
      </c>
      <c r="N86" s="20">
        <f t="shared" si="85"/>
        <v>0</v>
      </c>
      <c r="O86" s="89">
        <f t="shared" si="86"/>
        <v>42.699999999999996</v>
      </c>
      <c r="Q86" s="20" t="s">
        <v>14</v>
      </c>
      <c r="R86" s="16">
        <v>2</v>
      </c>
      <c r="S86" s="16">
        <v>0</v>
      </c>
      <c r="T86" s="16">
        <v>0.7</v>
      </c>
      <c r="U86" s="16">
        <f t="shared" si="53"/>
        <v>1.4</v>
      </c>
      <c r="V86" s="20">
        <f t="shared" si="75"/>
        <v>0</v>
      </c>
      <c r="W86" s="89">
        <f t="shared" si="64"/>
        <v>1.4</v>
      </c>
      <c r="Y86" s="20" t="s">
        <v>14</v>
      </c>
      <c r="Z86" s="16">
        <v>65</v>
      </c>
      <c r="AA86" s="16">
        <v>0</v>
      </c>
      <c r="AB86" s="16">
        <v>0.7</v>
      </c>
      <c r="AC86" s="16">
        <f t="shared" si="54"/>
        <v>45.5</v>
      </c>
      <c r="AD86" s="20">
        <f t="shared" si="76"/>
        <v>0</v>
      </c>
      <c r="AE86" s="89">
        <f t="shared" si="65"/>
        <v>45.5</v>
      </c>
      <c r="AG86" s="20" t="s">
        <v>14</v>
      </c>
      <c r="AH86" s="16">
        <v>96</v>
      </c>
      <c r="AI86" s="16"/>
      <c r="AJ86" s="16">
        <v>0.7</v>
      </c>
      <c r="AK86" s="16">
        <f t="shared" si="55"/>
        <v>67.199999999999989</v>
      </c>
      <c r="AL86" s="20">
        <f t="shared" si="77"/>
        <v>0</v>
      </c>
      <c r="AM86" s="16">
        <f t="shared" si="66"/>
        <v>67.199999999999989</v>
      </c>
      <c r="AO86" s="20" t="s">
        <v>14</v>
      </c>
      <c r="AP86" s="16">
        <v>48</v>
      </c>
      <c r="AQ86" s="16">
        <v>0</v>
      </c>
      <c r="AR86" s="16">
        <v>0.7</v>
      </c>
      <c r="AS86" s="16">
        <f t="shared" si="56"/>
        <v>33.599999999999994</v>
      </c>
      <c r="AT86" s="20">
        <f t="shared" si="78"/>
        <v>0</v>
      </c>
      <c r="AU86" s="16">
        <f t="shared" si="67"/>
        <v>33.599999999999994</v>
      </c>
      <c r="AW86" s="20" t="s">
        <v>14</v>
      </c>
      <c r="AX86" s="16">
        <v>65</v>
      </c>
      <c r="AY86" s="16">
        <v>0</v>
      </c>
      <c r="AZ86" s="16">
        <v>0.7</v>
      </c>
      <c r="BA86" s="16">
        <f t="shared" si="57"/>
        <v>45.5</v>
      </c>
      <c r="BB86" s="20">
        <f t="shared" si="79"/>
        <v>0</v>
      </c>
      <c r="BC86" s="16">
        <f t="shared" si="68"/>
        <v>45.5</v>
      </c>
      <c r="BD86" s="1" t="s">
        <v>122</v>
      </c>
      <c r="BE86" s="20" t="s">
        <v>14</v>
      </c>
      <c r="BF86" s="16">
        <v>108</v>
      </c>
      <c r="BG86" s="16">
        <v>0</v>
      </c>
      <c r="BH86" s="16">
        <v>0.7</v>
      </c>
      <c r="BI86" s="16">
        <f t="shared" si="58"/>
        <v>75.599999999999994</v>
      </c>
      <c r="BJ86" s="20">
        <f t="shared" si="80"/>
        <v>0</v>
      </c>
      <c r="BK86" s="16">
        <f t="shared" si="69"/>
        <v>75.599999999999994</v>
      </c>
      <c r="BM86" s="20" t="s">
        <v>14</v>
      </c>
      <c r="BN86" s="16">
        <v>68</v>
      </c>
      <c r="BO86" s="16">
        <v>0</v>
      </c>
      <c r="BP86" s="16">
        <v>0.7</v>
      </c>
      <c r="BQ86" s="16">
        <f t="shared" si="59"/>
        <v>47.599999999999994</v>
      </c>
      <c r="BR86" s="20">
        <f t="shared" si="81"/>
        <v>0</v>
      </c>
      <c r="BS86" s="16">
        <f t="shared" si="70"/>
        <v>47.599999999999994</v>
      </c>
      <c r="BU86" s="20" t="s">
        <v>14</v>
      </c>
      <c r="BV86" s="16">
        <v>105</v>
      </c>
      <c r="BW86" s="16">
        <v>0</v>
      </c>
      <c r="BX86" s="16">
        <v>0.7</v>
      </c>
      <c r="BY86" s="16">
        <f t="shared" si="60"/>
        <v>73.5</v>
      </c>
      <c r="BZ86" s="20">
        <f t="shared" si="82"/>
        <v>0</v>
      </c>
      <c r="CA86" s="89">
        <f t="shared" si="71"/>
        <v>73.5</v>
      </c>
      <c r="CC86" s="20" t="s">
        <v>14</v>
      </c>
      <c r="CD86" s="16">
        <v>83</v>
      </c>
      <c r="CE86" s="16"/>
      <c r="CF86" s="16">
        <v>0.7</v>
      </c>
      <c r="CG86" s="16">
        <f t="shared" si="61"/>
        <v>58.099999999999994</v>
      </c>
      <c r="CH86" s="20">
        <f t="shared" si="83"/>
        <v>0</v>
      </c>
      <c r="CI86" s="92">
        <f t="shared" si="72"/>
        <v>58.099999999999994</v>
      </c>
      <c r="CK86" s="20" t="s">
        <v>14</v>
      </c>
      <c r="CL86" s="16">
        <v>46</v>
      </c>
      <c r="CM86" s="16">
        <v>0</v>
      </c>
      <c r="CN86" s="16">
        <v>0.7</v>
      </c>
      <c r="CO86" s="16">
        <f t="shared" si="62"/>
        <v>32.199999999999996</v>
      </c>
      <c r="CP86" s="20">
        <f t="shared" si="84"/>
        <v>0</v>
      </c>
      <c r="CQ86" s="16">
        <f t="shared" si="73"/>
        <v>32.199999999999996</v>
      </c>
    </row>
    <row r="87" spans="1:95">
      <c r="A87" s="20" t="s">
        <v>15</v>
      </c>
      <c r="B87" s="16">
        <v>169</v>
      </c>
      <c r="C87" s="16">
        <v>0</v>
      </c>
      <c r="D87" s="16">
        <v>0.4</v>
      </c>
      <c r="E87" s="92">
        <f t="shared" si="51"/>
        <v>67.600000000000009</v>
      </c>
      <c r="F87" s="90">
        <f t="shared" si="74"/>
        <v>0</v>
      </c>
      <c r="G87" s="89">
        <f t="shared" si="63"/>
        <v>67.600000000000009</v>
      </c>
      <c r="I87" s="20" t="s">
        <v>15</v>
      </c>
      <c r="J87" s="16">
        <v>21</v>
      </c>
      <c r="K87" s="16">
        <v>0</v>
      </c>
      <c r="L87" s="16">
        <v>0.4</v>
      </c>
      <c r="M87" s="16">
        <f t="shared" si="52"/>
        <v>8.4</v>
      </c>
      <c r="N87" s="20">
        <f t="shared" si="85"/>
        <v>0</v>
      </c>
      <c r="O87" s="89">
        <f t="shared" si="86"/>
        <v>8.4</v>
      </c>
      <c r="Q87" s="20" t="s">
        <v>15</v>
      </c>
      <c r="R87" s="16">
        <v>132</v>
      </c>
      <c r="S87" s="16">
        <v>0</v>
      </c>
      <c r="T87" s="16">
        <v>0.4</v>
      </c>
      <c r="U87" s="16">
        <f t="shared" si="53"/>
        <v>52.800000000000004</v>
      </c>
      <c r="V87" s="20">
        <f t="shared" si="75"/>
        <v>0</v>
      </c>
      <c r="W87" s="89">
        <f t="shared" si="64"/>
        <v>52.800000000000004</v>
      </c>
      <c r="Y87" s="20" t="s">
        <v>15</v>
      </c>
      <c r="Z87" s="16">
        <v>462</v>
      </c>
      <c r="AA87" s="16">
        <v>0</v>
      </c>
      <c r="AB87" s="16">
        <v>0.4</v>
      </c>
      <c r="AC87" s="16">
        <f t="shared" si="54"/>
        <v>184.8</v>
      </c>
      <c r="AD87" s="20">
        <f t="shared" si="76"/>
        <v>0</v>
      </c>
      <c r="AE87" s="89">
        <f t="shared" si="65"/>
        <v>184.8</v>
      </c>
      <c r="AG87" s="20" t="s">
        <v>15</v>
      </c>
      <c r="AH87" s="16">
        <v>325</v>
      </c>
      <c r="AI87" s="16">
        <v>64</v>
      </c>
      <c r="AJ87" s="16">
        <v>0.4</v>
      </c>
      <c r="AK87" s="16">
        <f t="shared" si="55"/>
        <v>130</v>
      </c>
      <c r="AL87" s="20">
        <f t="shared" si="77"/>
        <v>25.6</v>
      </c>
      <c r="AM87" s="16">
        <f t="shared" si="66"/>
        <v>155.6</v>
      </c>
      <c r="AN87" s="1" t="s">
        <v>111</v>
      </c>
      <c r="AO87" s="94" t="s">
        <v>99</v>
      </c>
      <c r="AP87" s="16">
        <v>483</v>
      </c>
      <c r="AQ87" s="16">
        <v>120</v>
      </c>
      <c r="AR87" s="16">
        <v>0.4</v>
      </c>
      <c r="AS87" s="16">
        <f t="shared" si="56"/>
        <v>193.20000000000002</v>
      </c>
      <c r="AT87" s="20">
        <f t="shared" si="78"/>
        <v>48</v>
      </c>
      <c r="AU87" s="16">
        <f t="shared" si="67"/>
        <v>241.20000000000002</v>
      </c>
      <c r="AW87" s="20" t="s">
        <v>15</v>
      </c>
      <c r="AX87" s="16">
        <v>420</v>
      </c>
      <c r="AY87" s="16">
        <v>214</v>
      </c>
      <c r="AZ87" s="16">
        <v>0.4</v>
      </c>
      <c r="BA87" s="16">
        <f t="shared" si="57"/>
        <v>168</v>
      </c>
      <c r="BB87" s="20">
        <f t="shared" si="79"/>
        <v>85.600000000000009</v>
      </c>
      <c r="BC87" s="16">
        <f t="shared" si="68"/>
        <v>253.60000000000002</v>
      </c>
      <c r="BD87" s="1" t="s">
        <v>123</v>
      </c>
      <c r="BE87" s="20" t="s">
        <v>15</v>
      </c>
      <c r="BF87" s="16">
        <v>545</v>
      </c>
      <c r="BG87" s="16">
        <v>147</v>
      </c>
      <c r="BH87" s="16">
        <v>0.4</v>
      </c>
      <c r="BI87" s="16">
        <f t="shared" si="58"/>
        <v>218</v>
      </c>
      <c r="BJ87" s="20">
        <f t="shared" si="80"/>
        <v>58.800000000000004</v>
      </c>
      <c r="BK87" s="16">
        <f t="shared" si="69"/>
        <v>276.8</v>
      </c>
      <c r="BL87" s="1" t="s">
        <v>130</v>
      </c>
      <c r="BM87" s="20" t="s">
        <v>15</v>
      </c>
      <c r="BN87" s="16">
        <v>408</v>
      </c>
      <c r="BO87" s="16">
        <v>60</v>
      </c>
      <c r="BP87" s="16">
        <v>0.4</v>
      </c>
      <c r="BQ87" s="16">
        <f t="shared" si="59"/>
        <v>163.20000000000002</v>
      </c>
      <c r="BR87" s="20">
        <f t="shared" si="81"/>
        <v>24</v>
      </c>
      <c r="BS87" s="16">
        <f t="shared" si="70"/>
        <v>187.20000000000002</v>
      </c>
      <c r="BU87" s="20" t="s">
        <v>15</v>
      </c>
      <c r="BV87" s="16">
        <v>644</v>
      </c>
      <c r="BW87" s="16">
        <v>47</v>
      </c>
      <c r="BX87" s="16">
        <v>0.4</v>
      </c>
      <c r="BY87" s="16">
        <f t="shared" si="60"/>
        <v>257.60000000000002</v>
      </c>
      <c r="BZ87" s="20">
        <f t="shared" si="82"/>
        <v>18.8</v>
      </c>
      <c r="CA87" s="89">
        <f t="shared" si="71"/>
        <v>276.40000000000003</v>
      </c>
      <c r="CC87" s="20" t="s">
        <v>15</v>
      </c>
      <c r="CD87" s="16">
        <v>687</v>
      </c>
      <c r="CE87" s="16">
        <v>108</v>
      </c>
      <c r="CF87" s="16">
        <v>0.4</v>
      </c>
      <c r="CG87" s="16">
        <f t="shared" si="61"/>
        <v>274.8</v>
      </c>
      <c r="CH87" s="20">
        <f t="shared" si="83"/>
        <v>43.2</v>
      </c>
      <c r="CI87" s="92">
        <f t="shared" si="72"/>
        <v>318</v>
      </c>
      <c r="CK87" s="20" t="s">
        <v>15</v>
      </c>
      <c r="CL87" s="16">
        <v>454</v>
      </c>
      <c r="CM87" s="16">
        <v>720</v>
      </c>
      <c r="CN87" s="16">
        <v>0.4</v>
      </c>
      <c r="CO87" s="16">
        <f t="shared" si="62"/>
        <v>181.60000000000002</v>
      </c>
      <c r="CP87" s="20">
        <f t="shared" si="84"/>
        <v>288</v>
      </c>
      <c r="CQ87" s="16">
        <f t="shared" si="73"/>
        <v>469.6</v>
      </c>
    </row>
    <row r="88" spans="1:95">
      <c r="A88" s="20" t="s">
        <v>16</v>
      </c>
      <c r="B88" s="16">
        <v>0</v>
      </c>
      <c r="C88" s="16">
        <v>0</v>
      </c>
      <c r="D88" s="16">
        <v>0.2</v>
      </c>
      <c r="E88" s="92">
        <f t="shared" si="51"/>
        <v>0</v>
      </c>
      <c r="F88" s="95">
        <f t="shared" si="74"/>
        <v>0</v>
      </c>
      <c r="G88" s="89">
        <f t="shared" si="63"/>
        <v>0</v>
      </c>
      <c r="I88" s="20" t="s">
        <v>16</v>
      </c>
      <c r="J88" s="16">
        <v>0</v>
      </c>
      <c r="K88" s="16">
        <v>0</v>
      </c>
      <c r="L88" s="16">
        <v>0.2</v>
      </c>
      <c r="M88" s="16">
        <f t="shared" si="52"/>
        <v>0</v>
      </c>
      <c r="N88" s="20">
        <f t="shared" si="85"/>
        <v>0</v>
      </c>
      <c r="O88" s="89">
        <f t="shared" si="86"/>
        <v>0</v>
      </c>
      <c r="Q88" s="20" t="s">
        <v>16</v>
      </c>
      <c r="R88" s="16">
        <v>0</v>
      </c>
      <c r="S88" s="16">
        <v>0</v>
      </c>
      <c r="T88" s="16">
        <v>0.2</v>
      </c>
      <c r="U88" s="16">
        <f t="shared" si="53"/>
        <v>0</v>
      </c>
      <c r="V88" s="20">
        <f t="shared" si="75"/>
        <v>0</v>
      </c>
      <c r="W88" s="89">
        <f t="shared" si="64"/>
        <v>0</v>
      </c>
      <c r="Y88" s="20" t="s">
        <v>16</v>
      </c>
      <c r="Z88" s="16">
        <v>0</v>
      </c>
      <c r="AA88" s="16">
        <v>0</v>
      </c>
      <c r="AB88" s="16">
        <v>0.2</v>
      </c>
      <c r="AC88" s="16">
        <f t="shared" si="54"/>
        <v>0</v>
      </c>
      <c r="AD88" s="20">
        <f t="shared" si="76"/>
        <v>0</v>
      </c>
      <c r="AE88" s="89">
        <f t="shared" si="65"/>
        <v>0</v>
      </c>
      <c r="AG88" s="20" t="s">
        <v>16</v>
      </c>
      <c r="AH88" s="16">
        <v>0</v>
      </c>
      <c r="AI88" s="16"/>
      <c r="AJ88" s="16">
        <v>0.2</v>
      </c>
      <c r="AK88" s="16">
        <f t="shared" si="55"/>
        <v>0</v>
      </c>
      <c r="AL88" s="20">
        <f t="shared" si="77"/>
        <v>0</v>
      </c>
      <c r="AM88" s="16">
        <f t="shared" si="66"/>
        <v>0</v>
      </c>
      <c r="AO88" s="20" t="s">
        <v>16</v>
      </c>
      <c r="AP88" s="16">
        <v>0</v>
      </c>
      <c r="AQ88" s="16">
        <v>0</v>
      </c>
      <c r="AR88" s="16">
        <v>0.2</v>
      </c>
      <c r="AS88" s="16">
        <f t="shared" si="56"/>
        <v>0</v>
      </c>
      <c r="AT88" s="20">
        <f t="shared" si="78"/>
        <v>0</v>
      </c>
      <c r="AU88" s="16">
        <f t="shared" si="67"/>
        <v>0</v>
      </c>
      <c r="AW88" s="94" t="s">
        <v>16</v>
      </c>
      <c r="AX88" s="16">
        <v>0</v>
      </c>
      <c r="AY88" s="16">
        <v>0</v>
      </c>
      <c r="AZ88" s="16">
        <v>0.2</v>
      </c>
      <c r="BA88" s="16">
        <f t="shared" si="57"/>
        <v>0</v>
      </c>
      <c r="BB88" s="20">
        <f t="shared" si="79"/>
        <v>0</v>
      </c>
      <c r="BC88" s="16">
        <f t="shared" si="68"/>
        <v>0</v>
      </c>
      <c r="BD88" s="1"/>
      <c r="BE88" s="94" t="s">
        <v>135</v>
      </c>
      <c r="BF88" s="16">
        <v>0</v>
      </c>
      <c r="BG88" s="16">
        <v>472</v>
      </c>
      <c r="BH88" s="16">
        <v>0.2</v>
      </c>
      <c r="BI88" s="16">
        <f t="shared" si="58"/>
        <v>0</v>
      </c>
      <c r="BJ88" s="20">
        <f t="shared" si="80"/>
        <v>94.4</v>
      </c>
      <c r="BK88" s="16">
        <f t="shared" si="69"/>
        <v>94.4</v>
      </c>
      <c r="BL88" s="1" t="s">
        <v>132</v>
      </c>
      <c r="BM88" s="20" t="s">
        <v>16</v>
      </c>
      <c r="BN88" s="16">
        <v>0</v>
      </c>
      <c r="BO88" s="16">
        <v>0</v>
      </c>
      <c r="BP88" s="16">
        <v>0.2</v>
      </c>
      <c r="BQ88" s="16">
        <f t="shared" si="59"/>
        <v>0</v>
      </c>
      <c r="BR88" s="20">
        <f t="shared" si="81"/>
        <v>0</v>
      </c>
      <c r="BS88" s="16">
        <f t="shared" si="70"/>
        <v>0</v>
      </c>
      <c r="BU88" s="20" t="s">
        <v>16</v>
      </c>
      <c r="BV88" s="16">
        <v>0</v>
      </c>
      <c r="BW88" s="16">
        <v>0</v>
      </c>
      <c r="BX88" s="16">
        <v>0.2</v>
      </c>
      <c r="BY88" s="16">
        <f t="shared" si="60"/>
        <v>0</v>
      </c>
      <c r="BZ88" s="20">
        <f t="shared" si="82"/>
        <v>0</v>
      </c>
      <c r="CA88" s="89">
        <f t="shared" si="71"/>
        <v>0</v>
      </c>
      <c r="CC88" s="20" t="s">
        <v>16</v>
      </c>
      <c r="CD88" s="16">
        <v>0</v>
      </c>
      <c r="CE88" s="16"/>
      <c r="CF88" s="16">
        <v>0.2</v>
      </c>
      <c r="CG88" s="16">
        <f t="shared" si="61"/>
        <v>0</v>
      </c>
      <c r="CH88" s="20">
        <f t="shared" si="83"/>
        <v>0</v>
      </c>
      <c r="CI88" s="92">
        <f t="shared" si="72"/>
        <v>0</v>
      </c>
      <c r="CK88" s="20" t="s">
        <v>16</v>
      </c>
      <c r="CL88" s="16">
        <v>0</v>
      </c>
      <c r="CM88" s="16">
        <v>0</v>
      </c>
      <c r="CN88" s="16">
        <v>0.2</v>
      </c>
      <c r="CO88" s="16">
        <f t="shared" si="62"/>
        <v>0</v>
      </c>
      <c r="CP88" s="20">
        <f t="shared" si="84"/>
        <v>0</v>
      </c>
      <c r="CQ88" s="16">
        <f t="shared" si="73"/>
        <v>0</v>
      </c>
    </row>
    <row r="89" spans="1:95">
      <c r="A89" s="20" t="s">
        <v>17</v>
      </c>
      <c r="B89" s="16">
        <v>29</v>
      </c>
      <c r="C89" s="16">
        <v>325</v>
      </c>
      <c r="D89" s="16">
        <v>0.16</v>
      </c>
      <c r="E89" s="92">
        <f t="shared" si="51"/>
        <v>4.6399999999999997</v>
      </c>
      <c r="F89" s="90">
        <f t="shared" si="74"/>
        <v>52</v>
      </c>
      <c r="G89" s="89">
        <f t="shared" si="63"/>
        <v>56.64</v>
      </c>
      <c r="I89" s="20" t="s">
        <v>17</v>
      </c>
      <c r="J89" s="16">
        <v>23</v>
      </c>
      <c r="K89" s="16">
        <v>95</v>
      </c>
      <c r="L89" s="16">
        <v>0.16</v>
      </c>
      <c r="M89" s="16">
        <f t="shared" si="52"/>
        <v>3.68</v>
      </c>
      <c r="N89" s="20">
        <f t="shared" si="85"/>
        <v>15.200000000000001</v>
      </c>
      <c r="O89" s="89">
        <f t="shared" si="86"/>
        <v>18.880000000000003</v>
      </c>
      <c r="Q89" s="20" t="s">
        <v>17</v>
      </c>
      <c r="R89" s="16">
        <v>0</v>
      </c>
      <c r="S89" s="16">
        <v>0</v>
      </c>
      <c r="T89" s="16">
        <v>0.16</v>
      </c>
      <c r="U89" s="16">
        <f t="shared" si="53"/>
        <v>0</v>
      </c>
      <c r="V89" s="20">
        <f t="shared" si="75"/>
        <v>0</v>
      </c>
      <c r="W89" s="89">
        <f t="shared" si="64"/>
        <v>0</v>
      </c>
      <c r="Y89" s="20" t="s">
        <v>17</v>
      </c>
      <c r="Z89" s="16">
        <v>156</v>
      </c>
      <c r="AA89" s="16">
        <v>0</v>
      </c>
      <c r="AB89" s="16">
        <v>0.16</v>
      </c>
      <c r="AC89" s="16">
        <f t="shared" si="54"/>
        <v>24.96</v>
      </c>
      <c r="AD89" s="20">
        <f t="shared" si="76"/>
        <v>0</v>
      </c>
      <c r="AE89" s="89">
        <f t="shared" si="65"/>
        <v>24.96</v>
      </c>
      <c r="AG89" s="20" t="s">
        <v>17</v>
      </c>
      <c r="AH89" s="16">
        <v>87</v>
      </c>
      <c r="AI89" s="16"/>
      <c r="AJ89" s="16">
        <v>0.16</v>
      </c>
      <c r="AK89" s="16">
        <f t="shared" si="55"/>
        <v>13.92</v>
      </c>
      <c r="AL89" s="20">
        <f t="shared" si="77"/>
        <v>0</v>
      </c>
      <c r="AM89" s="16">
        <f t="shared" si="66"/>
        <v>13.92</v>
      </c>
      <c r="AO89" s="20" t="s">
        <v>17</v>
      </c>
      <c r="AP89" s="16">
        <v>79</v>
      </c>
      <c r="AQ89" s="16">
        <v>0</v>
      </c>
      <c r="AR89" s="16">
        <v>0.16</v>
      </c>
      <c r="AS89" s="16">
        <f t="shared" si="56"/>
        <v>12.64</v>
      </c>
      <c r="AT89" s="20">
        <f t="shared" si="78"/>
        <v>0</v>
      </c>
      <c r="AU89" s="16">
        <f t="shared" si="67"/>
        <v>12.64</v>
      </c>
      <c r="AW89" s="20" t="s">
        <v>17</v>
      </c>
      <c r="AX89" s="16">
        <v>62</v>
      </c>
      <c r="AY89" s="16">
        <v>0</v>
      </c>
      <c r="AZ89" s="16">
        <v>0.16</v>
      </c>
      <c r="BA89" s="16">
        <f t="shared" si="57"/>
        <v>9.92</v>
      </c>
      <c r="BB89" s="20">
        <f t="shared" si="79"/>
        <v>0</v>
      </c>
      <c r="BC89" s="16">
        <f t="shared" si="68"/>
        <v>9.92</v>
      </c>
      <c r="BE89" s="20" t="s">
        <v>17</v>
      </c>
      <c r="BF89" s="16">
        <v>44</v>
      </c>
      <c r="BG89" s="16">
        <v>0</v>
      </c>
      <c r="BH89" s="16">
        <v>0.16</v>
      </c>
      <c r="BI89" s="16">
        <f t="shared" si="58"/>
        <v>7.04</v>
      </c>
      <c r="BJ89" s="20">
        <f t="shared" si="80"/>
        <v>0</v>
      </c>
      <c r="BK89" s="16">
        <f t="shared" si="69"/>
        <v>7.04</v>
      </c>
      <c r="BM89" s="20" t="s">
        <v>17</v>
      </c>
      <c r="BN89" s="16">
        <v>22</v>
      </c>
      <c r="BO89" s="16">
        <v>0</v>
      </c>
      <c r="BP89" s="16">
        <v>0.16</v>
      </c>
      <c r="BQ89" s="16">
        <f t="shared" si="59"/>
        <v>3.52</v>
      </c>
      <c r="BR89" s="20">
        <f t="shared" si="81"/>
        <v>0</v>
      </c>
      <c r="BS89" s="16">
        <f t="shared" si="70"/>
        <v>3.52</v>
      </c>
      <c r="BU89" s="20" t="s">
        <v>17</v>
      </c>
      <c r="BV89" s="16">
        <v>48</v>
      </c>
      <c r="BW89" s="16">
        <v>0</v>
      </c>
      <c r="BX89" s="16">
        <v>0.16</v>
      </c>
      <c r="BY89" s="16">
        <f t="shared" si="60"/>
        <v>7.68</v>
      </c>
      <c r="BZ89" s="20">
        <f t="shared" si="82"/>
        <v>0</v>
      </c>
      <c r="CA89" s="89">
        <f t="shared" si="71"/>
        <v>7.68</v>
      </c>
      <c r="CC89" s="20" t="s">
        <v>17</v>
      </c>
      <c r="CD89" s="16">
        <v>41</v>
      </c>
      <c r="CE89" s="16"/>
      <c r="CF89" s="16">
        <v>0.16</v>
      </c>
      <c r="CG89" s="16">
        <f t="shared" si="61"/>
        <v>6.5600000000000005</v>
      </c>
      <c r="CH89" s="20">
        <f t="shared" si="83"/>
        <v>0</v>
      </c>
      <c r="CI89" s="92">
        <f t="shared" si="72"/>
        <v>6.5600000000000005</v>
      </c>
      <c r="CK89" s="20" t="s">
        <v>17</v>
      </c>
      <c r="CL89" s="16">
        <v>23</v>
      </c>
      <c r="CM89" s="16">
        <v>1138</v>
      </c>
      <c r="CN89" s="16">
        <v>0.16</v>
      </c>
      <c r="CO89" s="16">
        <f t="shared" si="62"/>
        <v>3.68</v>
      </c>
      <c r="CP89" s="20">
        <f t="shared" si="84"/>
        <v>182.08</v>
      </c>
      <c r="CQ89" s="16">
        <f t="shared" si="73"/>
        <v>185.76000000000002</v>
      </c>
    </row>
    <row r="90" spans="1:95">
      <c r="A90" s="20" t="s">
        <v>18</v>
      </c>
      <c r="B90" s="16">
        <v>248</v>
      </c>
      <c r="C90" s="16">
        <v>0</v>
      </c>
      <c r="D90" s="16">
        <v>0.12</v>
      </c>
      <c r="E90" s="92">
        <f t="shared" si="51"/>
        <v>29.759999999999998</v>
      </c>
      <c r="F90" s="90">
        <f t="shared" si="74"/>
        <v>0</v>
      </c>
      <c r="G90" s="89">
        <f t="shared" si="63"/>
        <v>29.759999999999998</v>
      </c>
      <c r="I90" s="20" t="s">
        <v>18</v>
      </c>
      <c r="J90" s="16">
        <v>161</v>
      </c>
      <c r="K90" s="16">
        <v>0</v>
      </c>
      <c r="L90" s="16">
        <v>0.12</v>
      </c>
      <c r="M90" s="16">
        <f t="shared" si="52"/>
        <v>19.32</v>
      </c>
      <c r="N90" s="20">
        <f t="shared" si="85"/>
        <v>0</v>
      </c>
      <c r="O90" s="89">
        <f t="shared" si="86"/>
        <v>19.32</v>
      </c>
      <c r="Q90" s="20" t="s">
        <v>18</v>
      </c>
      <c r="R90" s="16">
        <v>217</v>
      </c>
      <c r="S90" s="16">
        <v>0</v>
      </c>
      <c r="T90" s="16">
        <v>0.12</v>
      </c>
      <c r="U90" s="16">
        <f t="shared" si="53"/>
        <v>26.04</v>
      </c>
      <c r="V90" s="20">
        <f t="shared" si="75"/>
        <v>0</v>
      </c>
      <c r="W90" s="89">
        <f t="shared" si="64"/>
        <v>26.04</v>
      </c>
      <c r="Y90" s="20" t="s">
        <v>18</v>
      </c>
      <c r="Z90" s="16">
        <v>137</v>
      </c>
      <c r="AA90" s="16">
        <v>0</v>
      </c>
      <c r="AB90" s="16">
        <v>0.12</v>
      </c>
      <c r="AC90" s="16">
        <f t="shared" si="54"/>
        <v>16.439999999999998</v>
      </c>
      <c r="AD90" s="20">
        <f t="shared" si="76"/>
        <v>0</v>
      </c>
      <c r="AE90" s="89">
        <f t="shared" si="65"/>
        <v>16.439999999999998</v>
      </c>
      <c r="AG90" s="20" t="s">
        <v>18</v>
      </c>
      <c r="AH90" s="16">
        <v>238</v>
      </c>
      <c r="AI90" s="16"/>
      <c r="AJ90" s="16">
        <v>0.12</v>
      </c>
      <c r="AK90" s="16">
        <f t="shared" si="55"/>
        <v>28.56</v>
      </c>
      <c r="AL90" s="20">
        <f t="shared" si="77"/>
        <v>0</v>
      </c>
      <c r="AM90" s="16">
        <f t="shared" si="66"/>
        <v>28.56</v>
      </c>
      <c r="AO90" s="20" t="s">
        <v>18</v>
      </c>
      <c r="AP90" s="16">
        <v>206</v>
      </c>
      <c r="AQ90" s="16">
        <v>0</v>
      </c>
      <c r="AR90" s="16">
        <v>0.12</v>
      </c>
      <c r="AS90" s="16">
        <f t="shared" si="56"/>
        <v>24.72</v>
      </c>
      <c r="AT90" s="20">
        <f t="shared" si="78"/>
        <v>0</v>
      </c>
      <c r="AU90" s="16">
        <f t="shared" si="67"/>
        <v>24.72</v>
      </c>
      <c r="AW90" s="20" t="s">
        <v>18</v>
      </c>
      <c r="AX90" s="16">
        <v>139</v>
      </c>
      <c r="AY90" s="16">
        <v>0</v>
      </c>
      <c r="AZ90" s="16">
        <v>0.12</v>
      </c>
      <c r="BA90" s="16">
        <f t="shared" si="57"/>
        <v>16.68</v>
      </c>
      <c r="BB90" s="20">
        <f t="shared" si="79"/>
        <v>0</v>
      </c>
      <c r="BC90" s="16">
        <f t="shared" si="68"/>
        <v>16.68</v>
      </c>
      <c r="BE90" s="20" t="s">
        <v>18</v>
      </c>
      <c r="BF90" s="16">
        <v>153</v>
      </c>
      <c r="BG90" s="16">
        <v>0</v>
      </c>
      <c r="BH90" s="16">
        <v>0.12</v>
      </c>
      <c r="BI90" s="16">
        <f t="shared" si="58"/>
        <v>18.36</v>
      </c>
      <c r="BJ90" s="20">
        <f t="shared" si="80"/>
        <v>0</v>
      </c>
      <c r="BK90" s="16">
        <f t="shared" si="69"/>
        <v>18.36</v>
      </c>
      <c r="BM90" s="20" t="s">
        <v>18</v>
      </c>
      <c r="BN90" s="16">
        <v>148</v>
      </c>
      <c r="BO90" s="16">
        <v>0</v>
      </c>
      <c r="BP90" s="16">
        <v>0.12</v>
      </c>
      <c r="BQ90" s="16">
        <f t="shared" si="59"/>
        <v>17.759999999999998</v>
      </c>
      <c r="BR90" s="20">
        <f t="shared" si="81"/>
        <v>0</v>
      </c>
      <c r="BS90" s="16">
        <f t="shared" si="70"/>
        <v>17.759999999999998</v>
      </c>
      <c r="BU90" s="20" t="s">
        <v>18</v>
      </c>
      <c r="BV90" s="16">
        <v>196</v>
      </c>
      <c r="BW90" s="16">
        <v>0</v>
      </c>
      <c r="BX90" s="16">
        <v>0.12</v>
      </c>
      <c r="BY90" s="16">
        <f t="shared" si="60"/>
        <v>23.52</v>
      </c>
      <c r="BZ90" s="20">
        <f t="shared" si="82"/>
        <v>0</v>
      </c>
      <c r="CA90" s="89">
        <f t="shared" si="71"/>
        <v>23.52</v>
      </c>
      <c r="CC90" s="20" t="s">
        <v>18</v>
      </c>
      <c r="CD90" s="16">
        <v>157</v>
      </c>
      <c r="CE90" s="16"/>
      <c r="CF90" s="16">
        <v>0.12</v>
      </c>
      <c r="CG90" s="16">
        <f t="shared" si="61"/>
        <v>18.84</v>
      </c>
      <c r="CH90" s="20">
        <f t="shared" si="83"/>
        <v>0</v>
      </c>
      <c r="CI90" s="92">
        <f t="shared" si="72"/>
        <v>18.84</v>
      </c>
      <c r="CK90" s="20" t="s">
        <v>18</v>
      </c>
      <c r="CL90" s="16">
        <v>61</v>
      </c>
      <c r="CM90" s="16">
        <v>0</v>
      </c>
      <c r="CN90" s="16">
        <v>0.12</v>
      </c>
      <c r="CO90" s="16">
        <f t="shared" si="62"/>
        <v>7.3199999999999994</v>
      </c>
      <c r="CP90" s="20">
        <f t="shared" si="84"/>
        <v>0</v>
      </c>
      <c r="CQ90" s="16">
        <f t="shared" si="73"/>
        <v>7.3199999999999994</v>
      </c>
    </row>
    <row r="91" spans="1:95">
      <c r="A91" s="20" t="s">
        <v>19</v>
      </c>
      <c r="B91" s="16">
        <v>77</v>
      </c>
      <c r="C91" s="16">
        <v>0</v>
      </c>
      <c r="D91" s="16">
        <v>0.4</v>
      </c>
      <c r="E91" s="92">
        <f t="shared" si="51"/>
        <v>30.8</v>
      </c>
      <c r="F91" s="90">
        <f t="shared" si="74"/>
        <v>0</v>
      </c>
      <c r="G91" s="89">
        <f t="shared" si="63"/>
        <v>30.8</v>
      </c>
      <c r="I91" s="20" t="s">
        <v>19</v>
      </c>
      <c r="J91" s="16">
        <v>96</v>
      </c>
      <c r="K91" s="16">
        <v>0</v>
      </c>
      <c r="L91" s="16">
        <v>0.4</v>
      </c>
      <c r="M91" s="16">
        <f t="shared" si="52"/>
        <v>38.400000000000006</v>
      </c>
      <c r="N91" s="20">
        <f t="shared" si="85"/>
        <v>0</v>
      </c>
      <c r="O91" s="89">
        <f t="shared" si="86"/>
        <v>38.400000000000006</v>
      </c>
      <c r="Q91" s="20" t="s">
        <v>19</v>
      </c>
      <c r="R91" s="16">
        <v>98</v>
      </c>
      <c r="S91" s="16">
        <v>0</v>
      </c>
      <c r="T91" s="16">
        <v>0.4</v>
      </c>
      <c r="U91" s="16">
        <f t="shared" si="53"/>
        <v>39.200000000000003</v>
      </c>
      <c r="V91" s="20">
        <f t="shared" si="75"/>
        <v>0</v>
      </c>
      <c r="W91" s="89">
        <f t="shared" si="64"/>
        <v>39.200000000000003</v>
      </c>
      <c r="Y91" s="20" t="s">
        <v>19</v>
      </c>
      <c r="Z91" s="16">
        <v>87</v>
      </c>
      <c r="AA91" s="16">
        <v>0</v>
      </c>
      <c r="AB91" s="16">
        <v>0.4</v>
      </c>
      <c r="AC91" s="16">
        <f t="shared" si="54"/>
        <v>34.800000000000004</v>
      </c>
      <c r="AD91" s="20">
        <f t="shared" si="76"/>
        <v>0</v>
      </c>
      <c r="AE91" s="89">
        <f t="shared" si="65"/>
        <v>34.800000000000004</v>
      </c>
      <c r="AG91" s="20" t="s">
        <v>19</v>
      </c>
      <c r="AH91" s="16">
        <v>72</v>
      </c>
      <c r="AI91" s="16"/>
      <c r="AJ91" s="16">
        <v>0.4</v>
      </c>
      <c r="AK91" s="16">
        <f t="shared" si="55"/>
        <v>28.8</v>
      </c>
      <c r="AL91" s="20">
        <f t="shared" si="77"/>
        <v>0</v>
      </c>
      <c r="AM91" s="16">
        <f t="shared" si="66"/>
        <v>28.8</v>
      </c>
      <c r="AO91" s="20" t="s">
        <v>19</v>
      </c>
      <c r="AP91" s="16">
        <v>106</v>
      </c>
      <c r="AQ91" s="16">
        <v>0</v>
      </c>
      <c r="AR91" s="16">
        <v>0.4</v>
      </c>
      <c r="AS91" s="16">
        <f t="shared" si="56"/>
        <v>42.400000000000006</v>
      </c>
      <c r="AT91" s="20">
        <f t="shared" si="78"/>
        <v>0</v>
      </c>
      <c r="AU91" s="16">
        <f t="shared" si="67"/>
        <v>42.400000000000006</v>
      </c>
      <c r="AW91" s="20" t="s">
        <v>19</v>
      </c>
      <c r="AX91" s="16">
        <v>84</v>
      </c>
      <c r="AY91" s="16">
        <v>0</v>
      </c>
      <c r="AZ91" s="16">
        <v>0.4</v>
      </c>
      <c r="BA91" s="16">
        <f t="shared" si="57"/>
        <v>33.6</v>
      </c>
      <c r="BB91" s="20">
        <f t="shared" si="79"/>
        <v>0</v>
      </c>
      <c r="BC91" s="16">
        <f t="shared" si="68"/>
        <v>33.6</v>
      </c>
      <c r="BE91" s="20" t="s">
        <v>19</v>
      </c>
      <c r="BF91" s="16">
        <v>48</v>
      </c>
      <c r="BG91" s="16">
        <v>0</v>
      </c>
      <c r="BH91" s="16">
        <v>0.4</v>
      </c>
      <c r="BI91" s="16">
        <f t="shared" si="58"/>
        <v>19.200000000000003</v>
      </c>
      <c r="BJ91" s="20">
        <f t="shared" si="80"/>
        <v>0</v>
      </c>
      <c r="BK91" s="16">
        <f t="shared" si="69"/>
        <v>19.200000000000003</v>
      </c>
      <c r="BM91" s="20" t="s">
        <v>19</v>
      </c>
      <c r="BN91" s="16">
        <v>58</v>
      </c>
      <c r="BO91" s="16">
        <v>0</v>
      </c>
      <c r="BP91" s="16">
        <v>0.4</v>
      </c>
      <c r="BQ91" s="16">
        <f t="shared" si="59"/>
        <v>23.200000000000003</v>
      </c>
      <c r="BR91" s="20">
        <f t="shared" si="81"/>
        <v>0</v>
      </c>
      <c r="BS91" s="16">
        <f t="shared" si="70"/>
        <v>23.200000000000003</v>
      </c>
      <c r="BU91" s="20" t="s">
        <v>19</v>
      </c>
      <c r="BV91" s="16">
        <v>72</v>
      </c>
      <c r="BW91" s="16">
        <v>0</v>
      </c>
      <c r="BX91" s="16">
        <v>0.4</v>
      </c>
      <c r="BY91" s="16">
        <f t="shared" si="60"/>
        <v>28.8</v>
      </c>
      <c r="BZ91" s="20">
        <f t="shared" si="82"/>
        <v>0</v>
      </c>
      <c r="CA91" s="89">
        <f t="shared" si="71"/>
        <v>28.8</v>
      </c>
      <c r="CC91" s="20" t="s">
        <v>19</v>
      </c>
      <c r="CD91" s="16">
        <v>88</v>
      </c>
      <c r="CE91" s="16"/>
      <c r="CF91" s="16">
        <v>0.4</v>
      </c>
      <c r="CG91" s="16">
        <f t="shared" si="61"/>
        <v>35.200000000000003</v>
      </c>
      <c r="CH91" s="20">
        <f t="shared" si="83"/>
        <v>0</v>
      </c>
      <c r="CI91" s="92">
        <f t="shared" si="72"/>
        <v>35.200000000000003</v>
      </c>
      <c r="CK91" s="20" t="s">
        <v>19</v>
      </c>
      <c r="CL91" s="16">
        <v>71</v>
      </c>
      <c r="CM91" s="16">
        <v>0</v>
      </c>
      <c r="CN91" s="16">
        <v>0.4</v>
      </c>
      <c r="CO91" s="16">
        <f t="shared" si="62"/>
        <v>28.400000000000002</v>
      </c>
      <c r="CP91" s="20">
        <f t="shared" si="84"/>
        <v>0</v>
      </c>
      <c r="CQ91" s="16">
        <f t="shared" si="73"/>
        <v>28.400000000000002</v>
      </c>
    </row>
    <row r="92" spans="1:95">
      <c r="A92" s="20" t="s">
        <v>20</v>
      </c>
      <c r="B92" s="16">
        <v>60</v>
      </c>
      <c r="C92" s="16">
        <v>0</v>
      </c>
      <c r="D92" s="16">
        <v>1</v>
      </c>
      <c r="E92" s="92">
        <f t="shared" si="51"/>
        <v>60</v>
      </c>
      <c r="F92" s="90">
        <f t="shared" si="74"/>
        <v>0</v>
      </c>
      <c r="G92" s="89">
        <f t="shared" si="63"/>
        <v>60</v>
      </c>
      <c r="H92" s="1"/>
      <c r="I92" s="20" t="s">
        <v>20</v>
      </c>
      <c r="J92" s="16">
        <v>60</v>
      </c>
      <c r="K92" s="16">
        <v>0</v>
      </c>
      <c r="L92" s="16">
        <v>1</v>
      </c>
      <c r="M92" s="16">
        <f t="shared" si="52"/>
        <v>60</v>
      </c>
      <c r="N92" s="20">
        <f t="shared" si="85"/>
        <v>0</v>
      </c>
      <c r="O92" s="89">
        <f t="shared" si="86"/>
        <v>60</v>
      </c>
      <c r="Q92" s="20" t="s">
        <v>20</v>
      </c>
      <c r="R92" s="16">
        <v>60</v>
      </c>
      <c r="S92" s="16">
        <v>0</v>
      </c>
      <c r="T92" s="16">
        <v>1</v>
      </c>
      <c r="U92" s="16">
        <f t="shared" si="53"/>
        <v>60</v>
      </c>
      <c r="V92" s="20">
        <f t="shared" si="75"/>
        <v>0</v>
      </c>
      <c r="W92" s="89">
        <f t="shared" si="64"/>
        <v>60</v>
      </c>
      <c r="Y92" s="20" t="s">
        <v>20</v>
      </c>
      <c r="Z92" s="16">
        <v>60</v>
      </c>
      <c r="AA92" s="16">
        <v>0</v>
      </c>
      <c r="AB92" s="16">
        <v>1</v>
      </c>
      <c r="AC92" s="16">
        <f t="shared" si="54"/>
        <v>60</v>
      </c>
      <c r="AD92" s="20">
        <f t="shared" si="76"/>
        <v>0</v>
      </c>
      <c r="AE92" s="89">
        <f t="shared" si="65"/>
        <v>60</v>
      </c>
      <c r="AG92" s="20" t="s">
        <v>20</v>
      </c>
      <c r="AH92" s="16">
        <v>60</v>
      </c>
      <c r="AI92" s="16"/>
      <c r="AJ92" s="16">
        <v>1</v>
      </c>
      <c r="AK92" s="16">
        <f t="shared" si="55"/>
        <v>60</v>
      </c>
      <c r="AL92" s="20">
        <f t="shared" si="77"/>
        <v>0</v>
      </c>
      <c r="AM92" s="16">
        <f t="shared" si="66"/>
        <v>60</v>
      </c>
      <c r="AO92" s="20" t="s">
        <v>20</v>
      </c>
      <c r="AP92" s="16">
        <v>0</v>
      </c>
      <c r="AQ92" s="16">
        <v>0</v>
      </c>
      <c r="AR92" s="16">
        <v>1</v>
      </c>
      <c r="AS92" s="16">
        <f t="shared" si="56"/>
        <v>0</v>
      </c>
      <c r="AT92" s="20">
        <f t="shared" si="78"/>
        <v>0</v>
      </c>
      <c r="AU92" s="16">
        <f t="shared" si="67"/>
        <v>0</v>
      </c>
      <c r="AW92" s="20" t="s">
        <v>20</v>
      </c>
      <c r="AX92" s="16">
        <v>0</v>
      </c>
      <c r="AY92" s="16">
        <v>0</v>
      </c>
      <c r="AZ92" s="16">
        <v>1</v>
      </c>
      <c r="BA92" s="16">
        <f t="shared" si="57"/>
        <v>0</v>
      </c>
      <c r="BB92" s="20">
        <f t="shared" si="79"/>
        <v>0</v>
      </c>
      <c r="BC92" s="16">
        <f t="shared" si="68"/>
        <v>0</v>
      </c>
      <c r="BE92" s="20" t="s">
        <v>20</v>
      </c>
      <c r="BF92" s="16">
        <v>0</v>
      </c>
      <c r="BG92" s="16">
        <v>0</v>
      </c>
      <c r="BH92" s="16">
        <v>1</v>
      </c>
      <c r="BI92" s="16">
        <f t="shared" si="58"/>
        <v>0</v>
      </c>
      <c r="BJ92" s="20">
        <f t="shared" si="80"/>
        <v>0</v>
      </c>
      <c r="BK92" s="16">
        <f t="shared" si="69"/>
        <v>0</v>
      </c>
      <c r="BM92" s="20" t="s">
        <v>20</v>
      </c>
      <c r="BN92" s="16">
        <v>0</v>
      </c>
      <c r="BO92" s="16">
        <v>0</v>
      </c>
      <c r="BP92" s="16">
        <v>1</v>
      </c>
      <c r="BQ92" s="16">
        <f t="shared" si="59"/>
        <v>0</v>
      </c>
      <c r="BR92" s="20">
        <f t="shared" si="81"/>
        <v>0</v>
      </c>
      <c r="BS92" s="16">
        <f t="shared" si="70"/>
        <v>0</v>
      </c>
      <c r="BU92" s="20" t="s">
        <v>20</v>
      </c>
      <c r="BV92" s="16">
        <v>0</v>
      </c>
      <c r="BW92" s="16">
        <v>0</v>
      </c>
      <c r="BX92" s="16">
        <v>1</v>
      </c>
      <c r="BY92" s="16">
        <f t="shared" si="60"/>
        <v>0</v>
      </c>
      <c r="BZ92" s="20">
        <f t="shared" si="82"/>
        <v>0</v>
      </c>
      <c r="CA92" s="89">
        <f t="shared" si="71"/>
        <v>0</v>
      </c>
      <c r="CC92" s="20" t="s">
        <v>20</v>
      </c>
      <c r="CD92" s="16">
        <v>0</v>
      </c>
      <c r="CE92" s="16"/>
      <c r="CF92" s="16">
        <v>1</v>
      </c>
      <c r="CG92" s="16">
        <f t="shared" si="61"/>
        <v>0</v>
      </c>
      <c r="CH92" s="20">
        <f t="shared" si="83"/>
        <v>0</v>
      </c>
      <c r="CI92" s="92">
        <f t="shared" si="72"/>
        <v>0</v>
      </c>
      <c r="CK92" s="20" t="s">
        <v>20</v>
      </c>
      <c r="CL92" s="16">
        <v>0</v>
      </c>
      <c r="CM92" s="16">
        <v>0</v>
      </c>
      <c r="CN92" s="16">
        <v>1</v>
      </c>
      <c r="CO92" s="16">
        <f t="shared" si="62"/>
        <v>0</v>
      </c>
      <c r="CP92" s="20">
        <f t="shared" si="84"/>
        <v>0</v>
      </c>
      <c r="CQ92" s="16">
        <f t="shared" si="73"/>
        <v>0</v>
      </c>
    </row>
    <row r="93" spans="1:95">
      <c r="A93" s="20" t="s">
        <v>21</v>
      </c>
      <c r="B93" s="16">
        <v>171</v>
      </c>
      <c r="C93" s="16">
        <v>0</v>
      </c>
      <c r="D93" s="16">
        <v>1</v>
      </c>
      <c r="E93" s="92">
        <f t="shared" si="51"/>
        <v>171</v>
      </c>
      <c r="F93" s="90">
        <f t="shared" si="74"/>
        <v>0</v>
      </c>
      <c r="G93" s="89">
        <f t="shared" si="63"/>
        <v>171</v>
      </c>
      <c r="I93" s="20" t="s">
        <v>21</v>
      </c>
      <c r="J93" s="16">
        <v>108</v>
      </c>
      <c r="K93" s="16">
        <v>60</v>
      </c>
      <c r="L93" s="16">
        <v>1</v>
      </c>
      <c r="M93" s="16">
        <f t="shared" si="52"/>
        <v>108</v>
      </c>
      <c r="N93" s="20">
        <f t="shared" si="85"/>
        <v>60</v>
      </c>
      <c r="O93" s="89">
        <f t="shared" si="86"/>
        <v>168</v>
      </c>
      <c r="P93" s="1" t="s">
        <v>70</v>
      </c>
      <c r="Q93" s="20" t="s">
        <v>21</v>
      </c>
      <c r="R93" s="16">
        <v>68</v>
      </c>
      <c r="S93" s="16">
        <v>60</v>
      </c>
      <c r="T93" s="16">
        <v>1</v>
      </c>
      <c r="U93" s="16">
        <f t="shared" si="53"/>
        <v>68</v>
      </c>
      <c r="V93" s="20">
        <f t="shared" si="75"/>
        <v>60</v>
      </c>
      <c r="W93" s="89">
        <f t="shared" si="64"/>
        <v>128</v>
      </c>
      <c r="X93" s="1" t="s">
        <v>84</v>
      </c>
      <c r="Y93" s="20" t="s">
        <v>21</v>
      </c>
      <c r="Z93" s="16">
        <v>82</v>
      </c>
      <c r="AA93" s="16">
        <v>72</v>
      </c>
      <c r="AB93" s="16">
        <v>1</v>
      </c>
      <c r="AC93" s="16">
        <f t="shared" si="54"/>
        <v>82</v>
      </c>
      <c r="AD93" s="20">
        <f t="shared" si="76"/>
        <v>72</v>
      </c>
      <c r="AE93" s="89">
        <f t="shared" si="65"/>
        <v>154</v>
      </c>
      <c r="AF93" s="1" t="s">
        <v>86</v>
      </c>
      <c r="AG93" s="20" t="s">
        <v>21</v>
      </c>
      <c r="AH93" s="16">
        <v>98</v>
      </c>
      <c r="AI93" s="16">
        <v>127</v>
      </c>
      <c r="AJ93" s="16">
        <v>1</v>
      </c>
      <c r="AK93" s="16">
        <f t="shared" si="55"/>
        <v>98</v>
      </c>
      <c r="AL93" s="20">
        <f t="shared" si="77"/>
        <v>127</v>
      </c>
      <c r="AM93" s="16">
        <f t="shared" si="66"/>
        <v>225</v>
      </c>
      <c r="AN93" s="1" t="s">
        <v>112</v>
      </c>
      <c r="AO93" s="20" t="s">
        <v>21</v>
      </c>
      <c r="AP93" s="16">
        <v>124</v>
      </c>
      <c r="AQ93" s="16">
        <v>147</v>
      </c>
      <c r="AR93" s="16">
        <v>1</v>
      </c>
      <c r="AS93" s="16">
        <f t="shared" si="56"/>
        <v>124</v>
      </c>
      <c r="AT93" s="20">
        <f t="shared" si="78"/>
        <v>147</v>
      </c>
      <c r="AU93" s="16">
        <f t="shared" si="67"/>
        <v>271</v>
      </c>
      <c r="AV93" s="1" t="s">
        <v>117</v>
      </c>
      <c r="AW93" s="20" t="s">
        <v>21</v>
      </c>
      <c r="AX93" s="16">
        <v>79</v>
      </c>
      <c r="AY93" s="16">
        <v>156</v>
      </c>
      <c r="AZ93" s="16">
        <v>1</v>
      </c>
      <c r="BA93" s="16">
        <f t="shared" si="57"/>
        <v>79</v>
      </c>
      <c r="BB93" s="20">
        <f t="shared" si="79"/>
        <v>156</v>
      </c>
      <c r="BC93" s="16">
        <f t="shared" si="68"/>
        <v>235</v>
      </c>
      <c r="BD93" s="1" t="s">
        <v>125</v>
      </c>
      <c r="BE93" s="20" t="s">
        <v>21</v>
      </c>
      <c r="BF93" s="16">
        <v>112</v>
      </c>
      <c r="BG93" s="16">
        <v>58</v>
      </c>
      <c r="BH93" s="16">
        <v>1</v>
      </c>
      <c r="BI93" s="16">
        <f t="shared" si="58"/>
        <v>112</v>
      </c>
      <c r="BJ93" s="20">
        <f t="shared" si="80"/>
        <v>58</v>
      </c>
      <c r="BK93" s="16">
        <f t="shared" si="69"/>
        <v>170</v>
      </c>
      <c r="BL93" s="1" t="s">
        <v>131</v>
      </c>
      <c r="BM93" s="20" t="s">
        <v>21</v>
      </c>
      <c r="BN93" s="16">
        <v>92</v>
      </c>
      <c r="BO93" s="16">
        <v>0</v>
      </c>
      <c r="BP93" s="16">
        <v>1</v>
      </c>
      <c r="BQ93" s="16">
        <f t="shared" si="59"/>
        <v>92</v>
      </c>
      <c r="BR93" s="20">
        <f t="shared" si="81"/>
        <v>0</v>
      </c>
      <c r="BS93" s="16">
        <f t="shared" si="70"/>
        <v>92</v>
      </c>
      <c r="BU93" s="20" t="s">
        <v>21</v>
      </c>
      <c r="BV93" s="16">
        <v>79</v>
      </c>
      <c r="BW93" s="16">
        <v>0</v>
      </c>
      <c r="BX93" s="16">
        <v>1</v>
      </c>
      <c r="BY93" s="16">
        <f t="shared" si="60"/>
        <v>79</v>
      </c>
      <c r="BZ93" s="20">
        <f t="shared" si="82"/>
        <v>0</v>
      </c>
      <c r="CA93" s="89">
        <f t="shared" si="71"/>
        <v>79</v>
      </c>
      <c r="CC93" s="20" t="s">
        <v>21</v>
      </c>
      <c r="CD93" s="16">
        <v>104</v>
      </c>
      <c r="CE93" s="16"/>
      <c r="CF93" s="16">
        <v>1</v>
      </c>
      <c r="CG93" s="16">
        <f t="shared" si="61"/>
        <v>104</v>
      </c>
      <c r="CH93" s="20">
        <f t="shared" si="83"/>
        <v>0</v>
      </c>
      <c r="CI93" s="92">
        <f t="shared" si="72"/>
        <v>104</v>
      </c>
      <c r="CK93" s="20" t="s">
        <v>21</v>
      </c>
      <c r="CL93" s="16">
        <v>53</v>
      </c>
      <c r="CM93" s="16">
        <v>0</v>
      </c>
      <c r="CN93" s="16">
        <v>1</v>
      </c>
      <c r="CO93" s="16">
        <f t="shared" si="62"/>
        <v>53</v>
      </c>
      <c r="CP93" s="20">
        <f t="shared" si="84"/>
        <v>0</v>
      </c>
      <c r="CQ93" s="16">
        <f t="shared" si="73"/>
        <v>53</v>
      </c>
    </row>
    <row r="94" spans="1:95">
      <c r="A94" s="20" t="s">
        <v>22</v>
      </c>
      <c r="B94" s="16">
        <v>110</v>
      </c>
      <c r="C94" s="16">
        <v>0</v>
      </c>
      <c r="D94" s="16">
        <v>1</v>
      </c>
      <c r="E94" s="92">
        <f t="shared" si="51"/>
        <v>110</v>
      </c>
      <c r="F94" s="90">
        <f t="shared" si="74"/>
        <v>0</v>
      </c>
      <c r="G94" s="89">
        <f t="shared" si="63"/>
        <v>110</v>
      </c>
      <c r="I94" s="20" t="s">
        <v>22</v>
      </c>
      <c r="J94" s="16">
        <v>39</v>
      </c>
      <c r="K94" s="16">
        <v>0</v>
      </c>
      <c r="L94" s="16">
        <v>1</v>
      </c>
      <c r="M94" s="16">
        <f t="shared" si="52"/>
        <v>39</v>
      </c>
      <c r="N94" s="20">
        <f t="shared" si="85"/>
        <v>0</v>
      </c>
      <c r="O94" s="89">
        <f t="shared" si="86"/>
        <v>39</v>
      </c>
      <c r="Q94" s="20" t="s">
        <v>22</v>
      </c>
      <c r="R94" s="16">
        <v>6</v>
      </c>
      <c r="S94" s="16">
        <v>0</v>
      </c>
      <c r="T94" s="16">
        <v>1</v>
      </c>
      <c r="U94" s="16">
        <f t="shared" si="53"/>
        <v>6</v>
      </c>
      <c r="V94" s="20">
        <f t="shared" si="75"/>
        <v>0</v>
      </c>
      <c r="W94" s="89">
        <f t="shared" si="64"/>
        <v>6</v>
      </c>
      <c r="Y94" s="20" t="s">
        <v>22</v>
      </c>
      <c r="Z94" s="16">
        <v>58</v>
      </c>
      <c r="AA94" s="16">
        <v>8</v>
      </c>
      <c r="AB94" s="16">
        <v>1</v>
      </c>
      <c r="AC94" s="16">
        <f t="shared" si="54"/>
        <v>58</v>
      </c>
      <c r="AD94" s="20">
        <f t="shared" si="76"/>
        <v>8</v>
      </c>
      <c r="AE94" s="89">
        <f t="shared" si="65"/>
        <v>66</v>
      </c>
      <c r="AF94" s="1" t="s">
        <v>87</v>
      </c>
      <c r="AG94" s="20" t="s">
        <v>22</v>
      </c>
      <c r="AH94" s="16">
        <v>135</v>
      </c>
      <c r="AI94" s="16"/>
      <c r="AJ94" s="16">
        <v>1</v>
      </c>
      <c r="AK94" s="16">
        <f t="shared" si="55"/>
        <v>135</v>
      </c>
      <c r="AL94" s="20">
        <f t="shared" si="77"/>
        <v>0</v>
      </c>
      <c r="AM94" s="16">
        <f t="shared" si="66"/>
        <v>135</v>
      </c>
      <c r="AO94" s="20" t="s">
        <v>22</v>
      </c>
      <c r="AP94" s="16">
        <v>132</v>
      </c>
      <c r="AQ94" s="16">
        <v>0</v>
      </c>
      <c r="AR94" s="16">
        <v>1</v>
      </c>
      <c r="AS94" s="16">
        <f t="shared" si="56"/>
        <v>132</v>
      </c>
      <c r="AT94" s="20">
        <f t="shared" si="78"/>
        <v>0</v>
      </c>
      <c r="AU94" s="16">
        <f t="shared" si="67"/>
        <v>132</v>
      </c>
      <c r="AW94" s="20" t="s">
        <v>22</v>
      </c>
      <c r="AX94" s="16">
        <v>99</v>
      </c>
      <c r="AY94" s="16">
        <v>0</v>
      </c>
      <c r="AZ94" s="16">
        <v>1</v>
      </c>
      <c r="BA94" s="16">
        <f t="shared" si="57"/>
        <v>99</v>
      </c>
      <c r="BB94" s="20">
        <f t="shared" si="79"/>
        <v>0</v>
      </c>
      <c r="BC94" s="16">
        <f t="shared" si="68"/>
        <v>99</v>
      </c>
      <c r="BE94" s="20" t="s">
        <v>22</v>
      </c>
      <c r="BF94" s="16">
        <v>82</v>
      </c>
      <c r="BG94" s="16">
        <v>0</v>
      </c>
      <c r="BH94" s="16">
        <v>1</v>
      </c>
      <c r="BI94" s="16">
        <f t="shared" si="58"/>
        <v>82</v>
      </c>
      <c r="BJ94" s="20">
        <f t="shared" si="80"/>
        <v>0</v>
      </c>
      <c r="BK94" s="16">
        <f t="shared" si="69"/>
        <v>82</v>
      </c>
      <c r="BM94" s="20" t="s">
        <v>22</v>
      </c>
      <c r="BN94" s="16">
        <v>51</v>
      </c>
      <c r="BO94" s="16">
        <v>0</v>
      </c>
      <c r="BP94" s="16">
        <v>1</v>
      </c>
      <c r="BQ94" s="16">
        <f t="shared" si="59"/>
        <v>51</v>
      </c>
      <c r="BR94" s="20">
        <f t="shared" si="81"/>
        <v>0</v>
      </c>
      <c r="BS94" s="16">
        <f t="shared" si="70"/>
        <v>51</v>
      </c>
      <c r="BU94" s="20" t="s">
        <v>22</v>
      </c>
      <c r="BV94" s="16">
        <v>119</v>
      </c>
      <c r="BW94" s="16">
        <v>0</v>
      </c>
      <c r="BX94" s="16">
        <v>1</v>
      </c>
      <c r="BY94" s="16">
        <f t="shared" si="60"/>
        <v>119</v>
      </c>
      <c r="BZ94" s="20">
        <f t="shared" si="82"/>
        <v>0</v>
      </c>
      <c r="CA94" s="89">
        <f t="shared" si="71"/>
        <v>119</v>
      </c>
      <c r="CC94" s="20" t="s">
        <v>22</v>
      </c>
      <c r="CD94" s="16">
        <v>119</v>
      </c>
      <c r="CE94" s="16"/>
      <c r="CF94" s="16">
        <v>1</v>
      </c>
      <c r="CG94" s="16">
        <f t="shared" si="61"/>
        <v>119</v>
      </c>
      <c r="CH94" s="20">
        <f t="shared" si="83"/>
        <v>0</v>
      </c>
      <c r="CI94" s="92">
        <f t="shared" si="72"/>
        <v>119</v>
      </c>
      <c r="CK94" s="20" t="s">
        <v>22</v>
      </c>
      <c r="CL94" s="16">
        <v>66</v>
      </c>
      <c r="CM94" s="16">
        <v>0</v>
      </c>
      <c r="CN94" s="16">
        <v>1</v>
      </c>
      <c r="CO94" s="16">
        <f t="shared" si="62"/>
        <v>66</v>
      </c>
      <c r="CP94" s="20">
        <f t="shared" si="84"/>
        <v>0</v>
      </c>
      <c r="CQ94" s="16">
        <f t="shared" si="73"/>
        <v>66</v>
      </c>
    </row>
    <row r="95" spans="1:95">
      <c r="A95" s="20" t="s">
        <v>23</v>
      </c>
      <c r="B95" s="16">
        <v>252</v>
      </c>
      <c r="C95" s="16">
        <v>632</v>
      </c>
      <c r="D95" s="16">
        <v>0.125</v>
      </c>
      <c r="E95" s="92">
        <f t="shared" si="51"/>
        <v>31.5</v>
      </c>
      <c r="F95" s="90">
        <f t="shared" si="74"/>
        <v>79</v>
      </c>
      <c r="G95" s="89">
        <f t="shared" si="63"/>
        <v>110.5</v>
      </c>
      <c r="I95" s="20" t="s">
        <v>23</v>
      </c>
      <c r="J95" s="16">
        <v>274</v>
      </c>
      <c r="K95" s="16">
        <v>172</v>
      </c>
      <c r="L95" s="16">
        <v>0.125</v>
      </c>
      <c r="M95" s="16">
        <f t="shared" si="52"/>
        <v>34.25</v>
      </c>
      <c r="N95" s="20">
        <f t="shared" si="85"/>
        <v>21.5</v>
      </c>
      <c r="O95" s="89">
        <f t="shared" si="86"/>
        <v>55.75</v>
      </c>
      <c r="Q95" s="20" t="s">
        <v>23</v>
      </c>
      <c r="R95" s="16">
        <v>236</v>
      </c>
      <c r="S95" s="16">
        <v>22</v>
      </c>
      <c r="T95" s="16">
        <v>0.125</v>
      </c>
      <c r="U95" s="16">
        <f t="shared" si="53"/>
        <v>29.5</v>
      </c>
      <c r="V95" s="20">
        <f t="shared" si="75"/>
        <v>2.75</v>
      </c>
      <c r="W95" s="89">
        <f t="shared" si="64"/>
        <v>32.25</v>
      </c>
      <c r="Y95" s="20" t="s">
        <v>23</v>
      </c>
      <c r="Z95" s="16">
        <v>486</v>
      </c>
      <c r="AA95" s="16">
        <v>0</v>
      </c>
      <c r="AB95" s="16">
        <v>0.125</v>
      </c>
      <c r="AC95" s="16">
        <f t="shared" si="54"/>
        <v>60.75</v>
      </c>
      <c r="AD95" s="20">
        <f t="shared" si="76"/>
        <v>0</v>
      </c>
      <c r="AE95" s="89">
        <f t="shared" si="65"/>
        <v>60.75</v>
      </c>
      <c r="AG95" s="20" t="s">
        <v>23</v>
      </c>
      <c r="AH95" s="16">
        <v>472</v>
      </c>
      <c r="AI95" s="16"/>
      <c r="AJ95" s="16">
        <v>0.125</v>
      </c>
      <c r="AK95" s="16">
        <f t="shared" si="55"/>
        <v>59</v>
      </c>
      <c r="AL95" s="20">
        <f t="shared" si="77"/>
        <v>0</v>
      </c>
      <c r="AM95" s="16">
        <f t="shared" si="66"/>
        <v>59</v>
      </c>
      <c r="AN95" s="1"/>
      <c r="AO95" s="20" t="s">
        <v>23</v>
      </c>
      <c r="AP95" s="16">
        <v>199</v>
      </c>
      <c r="AQ95" s="16">
        <v>0</v>
      </c>
      <c r="AR95" s="16">
        <v>0.125</v>
      </c>
      <c r="AS95" s="16">
        <f t="shared" si="56"/>
        <v>24.875</v>
      </c>
      <c r="AT95" s="20">
        <f t="shared" si="78"/>
        <v>0</v>
      </c>
      <c r="AU95" s="16">
        <f t="shared" si="67"/>
        <v>24.875</v>
      </c>
      <c r="AW95" s="20" t="s">
        <v>23</v>
      </c>
      <c r="AX95" s="16">
        <v>102</v>
      </c>
      <c r="AY95" s="16">
        <v>0</v>
      </c>
      <c r="AZ95" s="16">
        <v>0.125</v>
      </c>
      <c r="BA95" s="16">
        <f t="shared" si="57"/>
        <v>12.75</v>
      </c>
      <c r="BB95" s="20">
        <f t="shared" si="79"/>
        <v>0</v>
      </c>
      <c r="BC95" s="16">
        <f t="shared" si="68"/>
        <v>12.75</v>
      </c>
      <c r="BE95" s="20" t="s">
        <v>23</v>
      </c>
      <c r="BF95" s="16">
        <v>101</v>
      </c>
      <c r="BG95" s="16">
        <v>0</v>
      </c>
      <c r="BH95" s="16">
        <v>0.125</v>
      </c>
      <c r="BI95" s="16">
        <f t="shared" si="58"/>
        <v>12.625</v>
      </c>
      <c r="BJ95" s="20">
        <f t="shared" si="80"/>
        <v>0</v>
      </c>
      <c r="BK95" s="16">
        <f t="shared" si="69"/>
        <v>12.625</v>
      </c>
      <c r="BM95" s="20" t="s">
        <v>23</v>
      </c>
      <c r="BN95" s="16">
        <v>84</v>
      </c>
      <c r="BO95" s="16">
        <v>0</v>
      </c>
      <c r="BP95" s="16">
        <v>0.125</v>
      </c>
      <c r="BQ95" s="16">
        <f t="shared" si="59"/>
        <v>10.5</v>
      </c>
      <c r="BR95" s="20">
        <f t="shared" si="81"/>
        <v>0</v>
      </c>
      <c r="BS95" s="16">
        <f t="shared" si="70"/>
        <v>10.5</v>
      </c>
      <c r="BU95" s="20" t="s">
        <v>23</v>
      </c>
      <c r="BV95" s="16">
        <v>69</v>
      </c>
      <c r="BW95" s="16">
        <v>0</v>
      </c>
      <c r="BX95" s="16">
        <v>0.125</v>
      </c>
      <c r="BY95" s="16">
        <f t="shared" si="60"/>
        <v>8.625</v>
      </c>
      <c r="BZ95" s="20">
        <f t="shared" si="82"/>
        <v>0</v>
      </c>
      <c r="CA95" s="89">
        <f t="shared" si="71"/>
        <v>8.625</v>
      </c>
      <c r="CC95" s="20" t="s">
        <v>23</v>
      </c>
      <c r="CD95" s="16">
        <v>154</v>
      </c>
      <c r="CE95" s="16"/>
      <c r="CF95" s="16">
        <v>0.125</v>
      </c>
      <c r="CG95" s="16">
        <f t="shared" si="61"/>
        <v>19.25</v>
      </c>
      <c r="CH95" s="20">
        <f t="shared" si="83"/>
        <v>0</v>
      </c>
      <c r="CI95" s="92">
        <f t="shared" si="72"/>
        <v>19.25</v>
      </c>
      <c r="CK95" s="20" t="s">
        <v>23</v>
      </c>
      <c r="CL95" s="16">
        <v>204</v>
      </c>
      <c r="CM95" s="16">
        <v>0</v>
      </c>
      <c r="CN95" s="16">
        <v>0.125</v>
      </c>
      <c r="CO95" s="16">
        <f t="shared" si="62"/>
        <v>25.5</v>
      </c>
      <c r="CP95" s="20">
        <f t="shared" si="84"/>
        <v>0</v>
      </c>
      <c r="CQ95" s="16">
        <f t="shared" si="73"/>
        <v>25.5</v>
      </c>
    </row>
    <row r="96" spans="1:95">
      <c r="A96" s="20" t="s">
        <v>24</v>
      </c>
      <c r="B96" s="16">
        <v>21</v>
      </c>
      <c r="C96" s="16">
        <v>50</v>
      </c>
      <c r="D96" s="16">
        <v>0.2</v>
      </c>
      <c r="E96" s="92">
        <f t="shared" si="51"/>
        <v>4.2</v>
      </c>
      <c r="F96" s="95">
        <f t="shared" si="74"/>
        <v>10</v>
      </c>
      <c r="G96" s="89">
        <f t="shared" si="63"/>
        <v>14.2</v>
      </c>
      <c r="I96" s="20" t="s">
        <v>24</v>
      </c>
      <c r="J96" s="16">
        <v>29</v>
      </c>
      <c r="K96" s="16">
        <v>0</v>
      </c>
      <c r="L96" s="16">
        <v>0.2</v>
      </c>
      <c r="M96" s="16">
        <f t="shared" si="52"/>
        <v>5.8000000000000007</v>
      </c>
      <c r="N96" s="20">
        <f t="shared" si="85"/>
        <v>0</v>
      </c>
      <c r="O96" s="89">
        <f t="shared" si="86"/>
        <v>5.8000000000000007</v>
      </c>
      <c r="Q96" s="20" t="s">
        <v>24</v>
      </c>
      <c r="R96" s="16">
        <v>14</v>
      </c>
      <c r="S96" s="16">
        <v>0</v>
      </c>
      <c r="T96" s="16">
        <v>0.2</v>
      </c>
      <c r="U96" s="16">
        <f t="shared" si="53"/>
        <v>2.8000000000000003</v>
      </c>
      <c r="V96" s="20">
        <f t="shared" si="75"/>
        <v>0</v>
      </c>
      <c r="W96" s="89">
        <f t="shared" si="64"/>
        <v>2.8000000000000003</v>
      </c>
      <c r="Y96" s="20" t="s">
        <v>24</v>
      </c>
      <c r="Z96" s="16">
        <v>14</v>
      </c>
      <c r="AA96" s="16">
        <v>0</v>
      </c>
      <c r="AB96" s="16">
        <v>0.2</v>
      </c>
      <c r="AC96" s="16">
        <f t="shared" si="54"/>
        <v>2.8000000000000003</v>
      </c>
      <c r="AD96" s="20">
        <f t="shared" si="76"/>
        <v>0</v>
      </c>
      <c r="AE96" s="89">
        <f t="shared" si="65"/>
        <v>2.8000000000000003</v>
      </c>
      <c r="AG96" s="20" t="s">
        <v>24</v>
      </c>
      <c r="AH96" s="16">
        <v>18</v>
      </c>
      <c r="AI96" s="16"/>
      <c r="AJ96" s="16">
        <v>0.2</v>
      </c>
      <c r="AK96" s="16">
        <f t="shared" si="55"/>
        <v>3.6</v>
      </c>
      <c r="AL96" s="20">
        <f t="shared" si="77"/>
        <v>0</v>
      </c>
      <c r="AM96" s="16">
        <f t="shared" si="66"/>
        <v>3.6</v>
      </c>
      <c r="AO96" s="94" t="s">
        <v>98</v>
      </c>
      <c r="AP96" s="16">
        <v>9</v>
      </c>
      <c r="AQ96" s="16">
        <v>0</v>
      </c>
      <c r="AR96" s="16">
        <v>0.2</v>
      </c>
      <c r="AS96" s="16">
        <f t="shared" si="56"/>
        <v>1.8</v>
      </c>
      <c r="AT96" s="20">
        <f t="shared" si="78"/>
        <v>0</v>
      </c>
      <c r="AU96" s="16">
        <f t="shared" si="67"/>
        <v>1.8</v>
      </c>
      <c r="AV96" s="1"/>
      <c r="AW96" s="20" t="s">
        <v>24</v>
      </c>
      <c r="AX96" s="16">
        <v>2</v>
      </c>
      <c r="AY96" s="16">
        <v>0</v>
      </c>
      <c r="AZ96" s="16">
        <v>0.2</v>
      </c>
      <c r="BA96" s="16">
        <f t="shared" si="57"/>
        <v>0.4</v>
      </c>
      <c r="BB96" s="20">
        <f t="shared" si="79"/>
        <v>0</v>
      </c>
      <c r="BC96" s="16">
        <f t="shared" si="68"/>
        <v>0.4</v>
      </c>
      <c r="BE96" s="20" t="s">
        <v>24</v>
      </c>
      <c r="BF96" s="16">
        <v>8</v>
      </c>
      <c r="BG96" s="16">
        <v>0</v>
      </c>
      <c r="BH96" s="16">
        <v>0.2</v>
      </c>
      <c r="BI96" s="16">
        <f t="shared" si="58"/>
        <v>1.6</v>
      </c>
      <c r="BJ96" s="20">
        <f t="shared" si="80"/>
        <v>0</v>
      </c>
      <c r="BK96" s="16">
        <f t="shared" si="69"/>
        <v>1.6</v>
      </c>
      <c r="BM96" s="20" t="s">
        <v>24</v>
      </c>
      <c r="BN96" s="16">
        <v>6</v>
      </c>
      <c r="BO96" s="16">
        <v>0</v>
      </c>
      <c r="BP96" s="16">
        <v>0.2</v>
      </c>
      <c r="BQ96" s="16">
        <f t="shared" si="59"/>
        <v>1.2000000000000002</v>
      </c>
      <c r="BR96" s="20">
        <f t="shared" si="81"/>
        <v>0</v>
      </c>
      <c r="BS96" s="16">
        <f t="shared" si="70"/>
        <v>1.2000000000000002</v>
      </c>
      <c r="BU96" s="20" t="s">
        <v>24</v>
      </c>
      <c r="BV96" s="16">
        <v>10</v>
      </c>
      <c r="BW96" s="16">
        <v>0</v>
      </c>
      <c r="BX96" s="16">
        <v>0.2</v>
      </c>
      <c r="BY96" s="16">
        <f t="shared" si="60"/>
        <v>2</v>
      </c>
      <c r="BZ96" s="20">
        <f t="shared" si="82"/>
        <v>0</v>
      </c>
      <c r="CA96" s="89">
        <f t="shared" si="71"/>
        <v>2</v>
      </c>
      <c r="CC96" s="20" t="s">
        <v>24</v>
      </c>
      <c r="CD96" s="16">
        <v>31</v>
      </c>
      <c r="CE96" s="16"/>
      <c r="CF96" s="16">
        <v>0.2</v>
      </c>
      <c r="CG96" s="16">
        <f t="shared" si="61"/>
        <v>6.2</v>
      </c>
      <c r="CH96" s="20">
        <f t="shared" si="83"/>
        <v>0</v>
      </c>
      <c r="CI96" s="92">
        <f t="shared" si="72"/>
        <v>6.2</v>
      </c>
      <c r="CK96" s="20" t="s">
        <v>24</v>
      </c>
      <c r="CL96" s="16">
        <v>34</v>
      </c>
      <c r="CM96" s="16">
        <v>175</v>
      </c>
      <c r="CN96" s="16">
        <v>0.2</v>
      </c>
      <c r="CO96" s="16">
        <f t="shared" si="62"/>
        <v>6.8000000000000007</v>
      </c>
      <c r="CP96" s="20">
        <f t="shared" si="84"/>
        <v>35</v>
      </c>
      <c r="CQ96" s="16">
        <f t="shared" si="73"/>
        <v>41.8</v>
      </c>
    </row>
    <row r="97" spans="1:95">
      <c r="A97" s="20" t="s">
        <v>25</v>
      </c>
      <c r="B97" s="16">
        <v>0</v>
      </c>
      <c r="C97" s="16">
        <v>129</v>
      </c>
      <c r="D97" s="89">
        <v>0.21827411167512689</v>
      </c>
      <c r="E97" s="92">
        <f t="shared" si="51"/>
        <v>0</v>
      </c>
      <c r="F97" s="95">
        <f t="shared" si="74"/>
        <v>28.157360406091367</v>
      </c>
      <c r="G97" s="89">
        <f t="shared" si="63"/>
        <v>28.157360406091367</v>
      </c>
      <c r="I97" s="20" t="s">
        <v>25</v>
      </c>
      <c r="J97" s="16">
        <v>0</v>
      </c>
      <c r="K97" s="16">
        <v>70</v>
      </c>
      <c r="L97" s="89">
        <v>0.21827411167512689</v>
      </c>
      <c r="M97" s="16">
        <f t="shared" si="52"/>
        <v>0</v>
      </c>
      <c r="N97" s="90">
        <f t="shared" si="85"/>
        <v>15.279187817258883</v>
      </c>
      <c r="O97" s="89">
        <f t="shared" si="86"/>
        <v>15.279187817258883</v>
      </c>
      <c r="Q97" s="20" t="s">
        <v>25</v>
      </c>
      <c r="R97" s="16">
        <v>0</v>
      </c>
      <c r="S97" s="16">
        <v>19</v>
      </c>
      <c r="T97" s="89">
        <v>0.21827411167512689</v>
      </c>
      <c r="U97" s="16">
        <f t="shared" si="53"/>
        <v>0</v>
      </c>
      <c r="V97" s="90">
        <f t="shared" si="75"/>
        <v>4.1472081218274113</v>
      </c>
      <c r="W97" s="89">
        <f t="shared" si="64"/>
        <v>4.1472081218274113</v>
      </c>
      <c r="Y97" s="20" t="s">
        <v>25</v>
      </c>
      <c r="Z97" s="16">
        <v>0</v>
      </c>
      <c r="AA97" s="16">
        <f>4+198</f>
        <v>202</v>
      </c>
      <c r="AB97" s="89">
        <v>0.21827411167512689</v>
      </c>
      <c r="AC97" s="16">
        <f t="shared" si="54"/>
        <v>0</v>
      </c>
      <c r="AD97" s="91">
        <f t="shared" si="76"/>
        <v>44.09137055837563</v>
      </c>
      <c r="AE97" s="89">
        <f t="shared" si="65"/>
        <v>44.09137055837563</v>
      </c>
      <c r="AF97" s="1" t="s">
        <v>88</v>
      </c>
      <c r="AG97" s="20" t="s">
        <v>25</v>
      </c>
      <c r="AH97" s="16">
        <v>34</v>
      </c>
      <c r="AI97" s="16">
        <v>272</v>
      </c>
      <c r="AJ97" s="16">
        <v>0.12</v>
      </c>
      <c r="AK97" s="16">
        <f t="shared" si="55"/>
        <v>4.08</v>
      </c>
      <c r="AL97" s="20">
        <f t="shared" si="77"/>
        <v>32.64</v>
      </c>
      <c r="AM97" s="16">
        <f t="shared" si="66"/>
        <v>36.72</v>
      </c>
      <c r="AN97" s="1" t="s">
        <v>113</v>
      </c>
      <c r="AO97" s="20" t="s">
        <v>25</v>
      </c>
      <c r="AP97" s="16">
        <v>0</v>
      </c>
      <c r="AQ97" s="16">
        <v>254</v>
      </c>
      <c r="AR97" s="16">
        <v>0.12</v>
      </c>
      <c r="AS97" s="16">
        <f t="shared" si="56"/>
        <v>0</v>
      </c>
      <c r="AT97" s="20">
        <f t="shared" si="78"/>
        <v>30.48</v>
      </c>
      <c r="AU97" s="16">
        <f t="shared" si="67"/>
        <v>30.48</v>
      </c>
      <c r="AV97" s="1" t="s">
        <v>119</v>
      </c>
      <c r="AW97" s="20" t="s">
        <v>25</v>
      </c>
      <c r="AX97" s="16">
        <v>0</v>
      </c>
      <c r="AY97" s="16">
        <v>0</v>
      </c>
      <c r="AZ97" s="16">
        <v>0.12</v>
      </c>
      <c r="BA97" s="16">
        <f t="shared" si="57"/>
        <v>0</v>
      </c>
      <c r="BB97" s="20">
        <f t="shared" si="79"/>
        <v>0</v>
      </c>
      <c r="BC97" s="16">
        <f t="shared" si="68"/>
        <v>0</v>
      </c>
      <c r="BE97" s="20" t="s">
        <v>25</v>
      </c>
      <c r="BF97" s="16">
        <v>8</v>
      </c>
      <c r="BG97" s="16">
        <v>0</v>
      </c>
      <c r="BH97" s="16">
        <v>0.12</v>
      </c>
      <c r="BI97" s="16">
        <f t="shared" si="58"/>
        <v>0.96</v>
      </c>
      <c r="BJ97" s="20">
        <f t="shared" si="80"/>
        <v>0</v>
      </c>
      <c r="BK97" s="16">
        <f t="shared" si="69"/>
        <v>0.96</v>
      </c>
      <c r="BM97" s="20" t="s">
        <v>25</v>
      </c>
      <c r="BN97" s="16">
        <v>0</v>
      </c>
      <c r="BO97" s="16">
        <v>0</v>
      </c>
      <c r="BP97" s="16">
        <v>0.12</v>
      </c>
      <c r="BQ97" s="16">
        <f t="shared" si="59"/>
        <v>0</v>
      </c>
      <c r="BR97" s="20">
        <f t="shared" si="81"/>
        <v>0</v>
      </c>
      <c r="BS97" s="16">
        <f t="shared" si="70"/>
        <v>0</v>
      </c>
      <c r="BU97" s="20" t="s">
        <v>25</v>
      </c>
      <c r="BV97" s="16">
        <v>71</v>
      </c>
      <c r="BW97" s="16">
        <v>0</v>
      </c>
      <c r="BX97" s="16">
        <v>0.12</v>
      </c>
      <c r="BY97" s="16">
        <f t="shared" si="60"/>
        <v>8.52</v>
      </c>
      <c r="BZ97" s="20">
        <f t="shared" si="82"/>
        <v>0</v>
      </c>
      <c r="CA97" s="89">
        <f t="shared" si="71"/>
        <v>8.52</v>
      </c>
      <c r="CC97" s="20" t="s">
        <v>25</v>
      </c>
      <c r="CD97" s="16">
        <v>15</v>
      </c>
      <c r="CE97" s="16"/>
      <c r="CF97" s="16">
        <v>0.12</v>
      </c>
      <c r="CG97" s="16">
        <f t="shared" si="61"/>
        <v>1.7999999999999998</v>
      </c>
      <c r="CH97" s="20">
        <f t="shared" si="83"/>
        <v>0</v>
      </c>
      <c r="CI97" s="92">
        <f t="shared" si="72"/>
        <v>1.7999999999999998</v>
      </c>
      <c r="CK97" s="20" t="s">
        <v>25</v>
      </c>
      <c r="CL97" s="16">
        <v>0</v>
      </c>
      <c r="CM97" s="16">
        <v>0</v>
      </c>
      <c r="CN97" s="16">
        <v>0.12</v>
      </c>
      <c r="CO97" s="16">
        <f t="shared" si="62"/>
        <v>0</v>
      </c>
      <c r="CP97" s="20">
        <f t="shared" si="84"/>
        <v>0</v>
      </c>
      <c r="CQ97" s="16">
        <f t="shared" si="73"/>
        <v>0</v>
      </c>
    </row>
    <row r="98" spans="1:95">
      <c r="A98" s="20" t="s">
        <v>26</v>
      </c>
      <c r="B98" s="16">
        <v>0</v>
      </c>
      <c r="C98" s="16">
        <v>0</v>
      </c>
      <c r="D98" s="16">
        <v>0.2</v>
      </c>
      <c r="E98" s="92">
        <f t="shared" si="51"/>
        <v>0</v>
      </c>
      <c r="F98" s="90">
        <f t="shared" si="74"/>
        <v>0</v>
      </c>
      <c r="G98" s="89">
        <f t="shared" si="63"/>
        <v>0</v>
      </c>
      <c r="I98" s="20" t="s">
        <v>26</v>
      </c>
      <c r="J98" s="16">
        <v>0</v>
      </c>
      <c r="K98" s="16">
        <v>0</v>
      </c>
      <c r="L98" s="16">
        <v>0.2</v>
      </c>
      <c r="M98" s="16">
        <f t="shared" si="52"/>
        <v>0</v>
      </c>
      <c r="N98" s="20">
        <f t="shared" si="85"/>
        <v>0</v>
      </c>
      <c r="O98" s="89">
        <f t="shared" si="86"/>
        <v>0</v>
      </c>
      <c r="Q98" s="20" t="s">
        <v>26</v>
      </c>
      <c r="R98" s="16">
        <v>0</v>
      </c>
      <c r="S98" s="16">
        <v>0</v>
      </c>
      <c r="T98" s="16">
        <v>0.2</v>
      </c>
      <c r="U98" s="16">
        <f t="shared" si="53"/>
        <v>0</v>
      </c>
      <c r="V98" s="20">
        <f t="shared" si="75"/>
        <v>0</v>
      </c>
      <c r="W98" s="89">
        <f t="shared" si="64"/>
        <v>0</v>
      </c>
      <c r="Y98" s="20" t="s">
        <v>26</v>
      </c>
      <c r="Z98" s="16">
        <v>0</v>
      </c>
      <c r="AA98" s="16">
        <v>0</v>
      </c>
      <c r="AB98" s="16">
        <v>0.2</v>
      </c>
      <c r="AC98" s="16">
        <f t="shared" si="54"/>
        <v>0</v>
      </c>
      <c r="AD98" s="20">
        <f t="shared" si="76"/>
        <v>0</v>
      </c>
      <c r="AE98" s="89">
        <f t="shared" si="65"/>
        <v>0</v>
      </c>
      <c r="AG98" s="20" t="s">
        <v>26</v>
      </c>
      <c r="AH98" s="16">
        <v>0</v>
      </c>
      <c r="AI98" s="16"/>
      <c r="AJ98" s="16">
        <v>0.2</v>
      </c>
      <c r="AK98" s="16">
        <f t="shared" si="55"/>
        <v>0</v>
      </c>
      <c r="AL98" s="20">
        <f t="shared" si="77"/>
        <v>0</v>
      </c>
      <c r="AM98" s="16">
        <f t="shared" si="66"/>
        <v>0</v>
      </c>
      <c r="AO98" s="20" t="s">
        <v>26</v>
      </c>
      <c r="AP98" s="16">
        <v>0</v>
      </c>
      <c r="AQ98" s="16">
        <v>0</v>
      </c>
      <c r="AR98" s="16">
        <v>0.2</v>
      </c>
      <c r="AS98" s="16">
        <f t="shared" si="56"/>
        <v>0</v>
      </c>
      <c r="AT98" s="20">
        <f t="shared" si="78"/>
        <v>0</v>
      </c>
      <c r="AU98" s="16">
        <f t="shared" si="67"/>
        <v>0</v>
      </c>
      <c r="AW98" s="20" t="s">
        <v>26</v>
      </c>
      <c r="AX98" s="16">
        <v>0</v>
      </c>
      <c r="AY98" s="16">
        <v>0</v>
      </c>
      <c r="AZ98" s="16">
        <v>0.2</v>
      </c>
      <c r="BA98" s="16">
        <f t="shared" si="57"/>
        <v>0</v>
      </c>
      <c r="BB98" s="20">
        <f t="shared" si="79"/>
        <v>0</v>
      </c>
      <c r="BC98" s="16">
        <f t="shared" si="68"/>
        <v>0</v>
      </c>
      <c r="BE98" s="20" t="s">
        <v>26</v>
      </c>
      <c r="BF98" s="16">
        <v>0</v>
      </c>
      <c r="BG98" s="16">
        <v>0</v>
      </c>
      <c r="BH98" s="16">
        <v>0.2</v>
      </c>
      <c r="BI98" s="16">
        <f t="shared" si="58"/>
        <v>0</v>
      </c>
      <c r="BJ98" s="20">
        <f t="shared" si="80"/>
        <v>0</v>
      </c>
      <c r="BK98" s="16">
        <f t="shared" si="69"/>
        <v>0</v>
      </c>
      <c r="BM98" s="20" t="s">
        <v>26</v>
      </c>
      <c r="BN98" s="16">
        <v>0</v>
      </c>
      <c r="BO98" s="16">
        <v>0</v>
      </c>
      <c r="BP98" s="16">
        <v>0.2</v>
      </c>
      <c r="BQ98" s="16">
        <f t="shared" si="59"/>
        <v>0</v>
      </c>
      <c r="BR98" s="20">
        <f t="shared" si="81"/>
        <v>0</v>
      </c>
      <c r="BS98" s="16">
        <f t="shared" si="70"/>
        <v>0</v>
      </c>
      <c r="BU98" s="20" t="s">
        <v>26</v>
      </c>
      <c r="BV98" s="16">
        <v>0</v>
      </c>
      <c r="BW98" s="16">
        <v>0</v>
      </c>
      <c r="BX98" s="16">
        <v>0.2</v>
      </c>
      <c r="BY98" s="16">
        <f t="shared" si="60"/>
        <v>0</v>
      </c>
      <c r="BZ98" s="20">
        <f t="shared" si="82"/>
        <v>0</v>
      </c>
      <c r="CA98" s="89">
        <f t="shared" si="71"/>
        <v>0</v>
      </c>
      <c r="CC98" s="20" t="s">
        <v>26</v>
      </c>
      <c r="CD98" s="16">
        <v>0</v>
      </c>
      <c r="CE98" s="16"/>
      <c r="CF98" s="16">
        <v>0.2</v>
      </c>
      <c r="CG98" s="16">
        <f t="shared" si="61"/>
        <v>0</v>
      </c>
      <c r="CH98" s="20">
        <f t="shared" si="83"/>
        <v>0</v>
      </c>
      <c r="CI98" s="92">
        <f t="shared" si="72"/>
        <v>0</v>
      </c>
      <c r="CK98" s="20" t="s">
        <v>26</v>
      </c>
      <c r="CL98" s="16">
        <v>0</v>
      </c>
      <c r="CM98" s="16">
        <v>0</v>
      </c>
      <c r="CN98" s="16">
        <v>0.2</v>
      </c>
      <c r="CO98" s="16">
        <f t="shared" si="62"/>
        <v>0</v>
      </c>
      <c r="CP98" s="20">
        <f t="shared" si="84"/>
        <v>0</v>
      </c>
      <c r="CQ98" s="16">
        <f t="shared" si="73"/>
        <v>0</v>
      </c>
    </row>
    <row r="99" spans="1:95">
      <c r="A99" s="20" t="s">
        <v>27</v>
      </c>
      <c r="B99" s="16">
        <v>11</v>
      </c>
      <c r="C99" s="16">
        <v>0</v>
      </c>
      <c r="D99" s="16">
        <v>0.25</v>
      </c>
      <c r="E99" s="92">
        <f t="shared" si="51"/>
        <v>2.75</v>
      </c>
      <c r="F99" s="90">
        <f t="shared" si="74"/>
        <v>0</v>
      </c>
      <c r="G99" s="89">
        <f t="shared" si="63"/>
        <v>2.75</v>
      </c>
      <c r="I99" s="20" t="s">
        <v>27</v>
      </c>
      <c r="J99" s="16">
        <v>22</v>
      </c>
      <c r="K99" s="16">
        <v>0</v>
      </c>
      <c r="L99" s="16">
        <v>0.25</v>
      </c>
      <c r="M99" s="16">
        <f t="shared" si="52"/>
        <v>5.5</v>
      </c>
      <c r="N99" s="20">
        <f t="shared" si="85"/>
        <v>0</v>
      </c>
      <c r="O99" s="89">
        <f t="shared" si="86"/>
        <v>5.5</v>
      </c>
      <c r="Q99" s="20" t="s">
        <v>27</v>
      </c>
      <c r="R99" s="16">
        <v>22</v>
      </c>
      <c r="S99" s="16">
        <v>0</v>
      </c>
      <c r="T99" s="16">
        <v>0.25</v>
      </c>
      <c r="U99" s="16">
        <f t="shared" si="53"/>
        <v>5.5</v>
      </c>
      <c r="V99" s="20">
        <f t="shared" si="75"/>
        <v>0</v>
      </c>
      <c r="W99" s="89">
        <f t="shared" si="64"/>
        <v>5.5</v>
      </c>
      <c r="Y99" s="20" t="s">
        <v>27</v>
      </c>
      <c r="Z99" s="16">
        <v>0</v>
      </c>
      <c r="AA99" s="16">
        <v>0</v>
      </c>
      <c r="AB99" s="16">
        <v>0.25</v>
      </c>
      <c r="AC99" s="16">
        <f t="shared" si="54"/>
        <v>0</v>
      </c>
      <c r="AD99" s="20">
        <f t="shared" si="76"/>
        <v>0</v>
      </c>
      <c r="AE99" s="89">
        <f t="shared" si="65"/>
        <v>0</v>
      </c>
      <c r="AG99" s="20" t="s">
        <v>27</v>
      </c>
      <c r="AH99" s="16">
        <v>32</v>
      </c>
      <c r="AI99" s="16"/>
      <c r="AJ99" s="16">
        <v>0.25</v>
      </c>
      <c r="AK99" s="16">
        <f t="shared" si="55"/>
        <v>8</v>
      </c>
      <c r="AL99" s="20">
        <f t="shared" si="77"/>
        <v>0</v>
      </c>
      <c r="AM99" s="16">
        <f t="shared" si="66"/>
        <v>8</v>
      </c>
      <c r="AO99" s="20" t="s">
        <v>27</v>
      </c>
      <c r="AP99" s="16">
        <v>31</v>
      </c>
      <c r="AQ99" s="16">
        <v>0</v>
      </c>
      <c r="AR99" s="16">
        <v>0.25</v>
      </c>
      <c r="AS99" s="16">
        <f t="shared" si="56"/>
        <v>7.75</v>
      </c>
      <c r="AT99" s="20">
        <f t="shared" si="78"/>
        <v>0</v>
      </c>
      <c r="AU99" s="16">
        <f t="shared" si="67"/>
        <v>7.75</v>
      </c>
      <c r="AW99" s="20" t="s">
        <v>27</v>
      </c>
      <c r="AX99" s="16">
        <v>30</v>
      </c>
      <c r="AY99" s="16">
        <v>0</v>
      </c>
      <c r="AZ99" s="16">
        <v>0.25</v>
      </c>
      <c r="BA99" s="16">
        <f t="shared" si="57"/>
        <v>7.5</v>
      </c>
      <c r="BB99" s="20">
        <f t="shared" si="79"/>
        <v>0</v>
      </c>
      <c r="BC99" s="16">
        <f t="shared" si="68"/>
        <v>7.5</v>
      </c>
      <c r="BE99" s="20" t="s">
        <v>27</v>
      </c>
      <c r="BF99" s="16">
        <v>38</v>
      </c>
      <c r="BG99" s="16">
        <v>0</v>
      </c>
      <c r="BH99" s="16">
        <v>0.25</v>
      </c>
      <c r="BI99" s="16">
        <f t="shared" si="58"/>
        <v>9.5</v>
      </c>
      <c r="BJ99" s="20">
        <f t="shared" si="80"/>
        <v>0</v>
      </c>
      <c r="BK99" s="16">
        <f t="shared" si="69"/>
        <v>9.5</v>
      </c>
      <c r="BM99" s="20" t="s">
        <v>27</v>
      </c>
      <c r="BN99" s="16">
        <v>38</v>
      </c>
      <c r="BO99" s="16">
        <v>0</v>
      </c>
      <c r="BP99" s="16">
        <v>0.25</v>
      </c>
      <c r="BQ99" s="16">
        <f t="shared" si="59"/>
        <v>9.5</v>
      </c>
      <c r="BR99" s="20">
        <f t="shared" si="81"/>
        <v>0</v>
      </c>
      <c r="BS99" s="16">
        <f t="shared" si="70"/>
        <v>9.5</v>
      </c>
      <c r="BU99" s="20" t="s">
        <v>27</v>
      </c>
      <c r="BV99" s="16">
        <v>44</v>
      </c>
      <c r="BW99" s="16">
        <v>0</v>
      </c>
      <c r="BX99" s="16">
        <v>0.25</v>
      </c>
      <c r="BY99" s="16">
        <f t="shared" si="60"/>
        <v>11</v>
      </c>
      <c r="BZ99" s="20">
        <f t="shared" si="82"/>
        <v>0</v>
      </c>
      <c r="CA99" s="89">
        <f t="shared" si="71"/>
        <v>11</v>
      </c>
      <c r="CC99" s="20" t="s">
        <v>27</v>
      </c>
      <c r="CD99" s="16">
        <v>35</v>
      </c>
      <c r="CE99" s="16"/>
      <c r="CF99" s="16">
        <v>0.25</v>
      </c>
      <c r="CG99" s="16">
        <f t="shared" si="61"/>
        <v>8.75</v>
      </c>
      <c r="CH99" s="20">
        <f t="shared" si="83"/>
        <v>0</v>
      </c>
      <c r="CI99" s="92">
        <f t="shared" si="72"/>
        <v>8.75</v>
      </c>
      <c r="CK99" s="20" t="s">
        <v>27</v>
      </c>
      <c r="CL99" s="16">
        <v>0</v>
      </c>
      <c r="CM99" s="16">
        <v>0</v>
      </c>
      <c r="CN99" s="16">
        <v>0.25</v>
      </c>
      <c r="CO99" s="16">
        <f t="shared" si="62"/>
        <v>0</v>
      </c>
      <c r="CP99" s="20">
        <f t="shared" si="84"/>
        <v>0</v>
      </c>
      <c r="CQ99" s="16">
        <f t="shared" si="73"/>
        <v>0</v>
      </c>
    </row>
    <row r="100" spans="1:95">
      <c r="A100" s="20" t="s">
        <v>28</v>
      </c>
      <c r="B100" s="16">
        <v>38</v>
      </c>
      <c r="C100" s="16">
        <v>31</v>
      </c>
      <c r="D100" s="16">
        <v>0.39</v>
      </c>
      <c r="E100" s="92">
        <f t="shared" si="51"/>
        <v>14.82</v>
      </c>
      <c r="F100" s="90">
        <f t="shared" si="74"/>
        <v>12.09</v>
      </c>
      <c r="G100" s="89">
        <f t="shared" si="63"/>
        <v>26.91</v>
      </c>
      <c r="I100" s="20" t="s">
        <v>28</v>
      </c>
      <c r="J100" s="16">
        <v>24</v>
      </c>
      <c r="K100" s="16">
        <v>0</v>
      </c>
      <c r="L100" s="16">
        <v>0.39</v>
      </c>
      <c r="M100" s="16">
        <f t="shared" si="52"/>
        <v>9.36</v>
      </c>
      <c r="N100" s="20">
        <f t="shared" si="85"/>
        <v>0</v>
      </c>
      <c r="O100" s="89">
        <f t="shared" si="86"/>
        <v>9.36</v>
      </c>
      <c r="Q100" s="20" t="s">
        <v>28</v>
      </c>
      <c r="R100" s="16">
        <v>27</v>
      </c>
      <c r="S100" s="16">
        <v>0</v>
      </c>
      <c r="T100" s="16">
        <v>0.39</v>
      </c>
      <c r="U100" s="16">
        <f t="shared" si="53"/>
        <v>10.530000000000001</v>
      </c>
      <c r="V100" s="20">
        <f t="shared" si="75"/>
        <v>0</v>
      </c>
      <c r="W100" s="89">
        <f t="shared" si="64"/>
        <v>10.530000000000001</v>
      </c>
      <c r="Y100" s="20" t="s">
        <v>28</v>
      </c>
      <c r="Z100" s="16">
        <v>0</v>
      </c>
      <c r="AA100" s="16">
        <v>0</v>
      </c>
      <c r="AB100" s="16">
        <v>0.39</v>
      </c>
      <c r="AC100" s="16">
        <f t="shared" si="54"/>
        <v>0</v>
      </c>
      <c r="AD100" s="20">
        <f t="shared" si="76"/>
        <v>0</v>
      </c>
      <c r="AE100" s="89">
        <f t="shared" si="65"/>
        <v>0</v>
      </c>
      <c r="AG100" s="20" t="s">
        <v>28</v>
      </c>
      <c r="AH100" s="16">
        <v>24</v>
      </c>
      <c r="AI100" s="16"/>
      <c r="AJ100" s="16">
        <v>0.39</v>
      </c>
      <c r="AK100" s="16">
        <f>AH100*AJ100</f>
        <v>9.36</v>
      </c>
      <c r="AL100" s="20">
        <f>AI100*AJ100</f>
        <v>0</v>
      </c>
      <c r="AM100" s="16">
        <f>AK100+AL100</f>
        <v>9.36</v>
      </c>
      <c r="AO100" s="20" t="s">
        <v>28</v>
      </c>
      <c r="AP100" s="16">
        <v>22</v>
      </c>
      <c r="AQ100" s="16">
        <v>0</v>
      </c>
      <c r="AR100" s="16">
        <v>0.39</v>
      </c>
      <c r="AS100" s="16">
        <f t="shared" si="56"/>
        <v>8.58</v>
      </c>
      <c r="AT100" s="20">
        <f t="shared" si="78"/>
        <v>0</v>
      </c>
      <c r="AU100" s="16">
        <f t="shared" si="67"/>
        <v>8.58</v>
      </c>
      <c r="AW100" s="20" t="s">
        <v>28</v>
      </c>
      <c r="AX100" s="16">
        <v>12</v>
      </c>
      <c r="AY100" s="16">
        <v>0</v>
      </c>
      <c r="AZ100" s="16">
        <v>0.39</v>
      </c>
      <c r="BA100" s="16">
        <f t="shared" si="57"/>
        <v>4.68</v>
      </c>
      <c r="BB100" s="20">
        <f t="shared" si="79"/>
        <v>0</v>
      </c>
      <c r="BC100" s="16">
        <f t="shared" si="68"/>
        <v>4.68</v>
      </c>
      <c r="BE100" s="20" t="s">
        <v>28</v>
      </c>
      <c r="BF100" s="16">
        <v>11</v>
      </c>
      <c r="BG100" s="16">
        <v>0</v>
      </c>
      <c r="BH100" s="16">
        <v>0.39</v>
      </c>
      <c r="BI100" s="16">
        <f t="shared" si="58"/>
        <v>4.29</v>
      </c>
      <c r="BJ100" s="20">
        <f t="shared" si="80"/>
        <v>0</v>
      </c>
      <c r="BK100" s="16">
        <f t="shared" si="69"/>
        <v>4.29</v>
      </c>
      <c r="BM100" s="20" t="s">
        <v>28</v>
      </c>
      <c r="BN100" s="16">
        <v>12</v>
      </c>
      <c r="BO100" s="16">
        <v>0</v>
      </c>
      <c r="BP100" s="16">
        <v>0.39</v>
      </c>
      <c r="BQ100" s="16">
        <f t="shared" si="59"/>
        <v>4.68</v>
      </c>
      <c r="BR100" s="20">
        <f t="shared" si="81"/>
        <v>0</v>
      </c>
      <c r="BS100" s="16">
        <f t="shared" si="70"/>
        <v>4.68</v>
      </c>
      <c r="BU100" s="20" t="s">
        <v>28</v>
      </c>
      <c r="BV100" s="16">
        <v>16</v>
      </c>
      <c r="BW100" s="16">
        <v>0</v>
      </c>
      <c r="BX100" s="16">
        <v>0.39</v>
      </c>
      <c r="BY100" s="16">
        <f t="shared" si="60"/>
        <v>6.24</v>
      </c>
      <c r="BZ100" s="20">
        <f t="shared" si="82"/>
        <v>0</v>
      </c>
      <c r="CA100" s="89">
        <f t="shared" si="71"/>
        <v>6.24</v>
      </c>
      <c r="CC100" s="20" t="s">
        <v>28</v>
      </c>
      <c r="CD100" s="16">
        <v>21</v>
      </c>
      <c r="CE100" s="16"/>
      <c r="CF100" s="16">
        <v>0.39</v>
      </c>
      <c r="CG100" s="16">
        <f t="shared" si="61"/>
        <v>8.19</v>
      </c>
      <c r="CH100" s="20">
        <f t="shared" si="83"/>
        <v>0</v>
      </c>
      <c r="CI100" s="92">
        <f t="shared" si="72"/>
        <v>8.19</v>
      </c>
      <c r="CK100" s="20" t="s">
        <v>28</v>
      </c>
      <c r="CL100" s="16">
        <v>18</v>
      </c>
      <c r="CM100" s="16">
        <v>0</v>
      </c>
      <c r="CN100" s="16">
        <v>0.39</v>
      </c>
      <c r="CO100" s="16">
        <f t="shared" si="62"/>
        <v>7.0200000000000005</v>
      </c>
      <c r="CP100" s="20">
        <f t="shared" si="84"/>
        <v>0</v>
      </c>
      <c r="CQ100" s="16">
        <f t="shared" si="73"/>
        <v>7.0200000000000005</v>
      </c>
    </row>
    <row r="101" spans="1:95">
      <c r="A101" s="94" t="s">
        <v>89</v>
      </c>
      <c r="B101" s="16">
        <v>0</v>
      </c>
      <c r="C101" s="16">
        <v>0</v>
      </c>
      <c r="D101" s="16">
        <v>0.2</v>
      </c>
      <c r="E101" s="16">
        <f t="shared" si="51"/>
        <v>0</v>
      </c>
      <c r="F101" s="20">
        <f t="shared" si="74"/>
        <v>0</v>
      </c>
      <c r="G101" s="89">
        <f t="shared" si="63"/>
        <v>0</v>
      </c>
      <c r="I101" s="94" t="s">
        <v>89</v>
      </c>
      <c r="J101" s="16">
        <v>0</v>
      </c>
      <c r="K101" s="16">
        <v>0</v>
      </c>
      <c r="L101" s="16">
        <v>0.2</v>
      </c>
      <c r="M101" s="16">
        <f t="shared" si="52"/>
        <v>0</v>
      </c>
      <c r="N101" s="20">
        <f t="shared" si="85"/>
        <v>0</v>
      </c>
      <c r="O101" s="89">
        <f t="shared" si="86"/>
        <v>0</v>
      </c>
      <c r="Q101" s="94" t="s">
        <v>89</v>
      </c>
      <c r="R101" s="16">
        <v>0</v>
      </c>
      <c r="S101" s="16">
        <v>0</v>
      </c>
      <c r="T101" s="16">
        <v>0.2</v>
      </c>
      <c r="U101" s="16">
        <f t="shared" si="53"/>
        <v>0</v>
      </c>
      <c r="V101" s="20">
        <f t="shared" si="75"/>
        <v>0</v>
      </c>
      <c r="W101" s="89">
        <f t="shared" si="64"/>
        <v>0</v>
      </c>
      <c r="Y101" s="94" t="s">
        <v>89</v>
      </c>
      <c r="Z101" s="16">
        <v>0</v>
      </c>
      <c r="AA101" s="16">
        <v>120</v>
      </c>
      <c r="AB101" s="16">
        <v>0.2</v>
      </c>
      <c r="AC101" s="16">
        <f t="shared" ref="AC101" si="87">Z101*AB101</f>
        <v>0</v>
      </c>
      <c r="AD101" s="20">
        <f t="shared" ref="AD101" si="88">AA101*AB101</f>
        <v>24</v>
      </c>
      <c r="AE101" s="89">
        <f t="shared" si="65"/>
        <v>24</v>
      </c>
      <c r="AF101" s="1" t="s">
        <v>90</v>
      </c>
      <c r="AG101" s="94" t="s">
        <v>89</v>
      </c>
      <c r="AH101" s="16">
        <v>0</v>
      </c>
      <c r="AI101" s="16">
        <v>114</v>
      </c>
      <c r="AJ101" s="16">
        <v>0.2</v>
      </c>
      <c r="AK101" s="16">
        <f t="shared" ref="AK101" si="89">AH101*AJ101</f>
        <v>0</v>
      </c>
      <c r="AL101" s="20">
        <f t="shared" ref="AL101" si="90">AI101*AJ101</f>
        <v>22.8</v>
      </c>
      <c r="AM101" s="89">
        <f t="shared" ref="AM101" si="91">AK101+AL101</f>
        <v>22.8</v>
      </c>
      <c r="AN101" s="1" t="s">
        <v>133</v>
      </c>
      <c r="AO101" s="94" t="s">
        <v>89</v>
      </c>
      <c r="AP101" s="16">
        <v>0</v>
      </c>
      <c r="AQ101" s="16">
        <v>120</v>
      </c>
      <c r="AR101" s="16">
        <v>0.2</v>
      </c>
      <c r="AS101" s="16">
        <f t="shared" si="56"/>
        <v>0</v>
      </c>
      <c r="AT101" s="20">
        <f t="shared" si="78"/>
        <v>24</v>
      </c>
      <c r="AU101" s="89">
        <f t="shared" si="67"/>
        <v>24</v>
      </c>
      <c r="AV101" s="1" t="s">
        <v>118</v>
      </c>
      <c r="AW101" s="94" t="s">
        <v>89</v>
      </c>
      <c r="AX101" s="16">
        <v>0</v>
      </c>
      <c r="AY101" s="16">
        <v>552</v>
      </c>
      <c r="AZ101" s="16">
        <v>0.2</v>
      </c>
      <c r="BA101" s="16">
        <f t="shared" si="57"/>
        <v>0</v>
      </c>
      <c r="BB101" s="20">
        <f t="shared" si="79"/>
        <v>110.4</v>
      </c>
      <c r="BC101" s="89">
        <f t="shared" si="68"/>
        <v>110.4</v>
      </c>
      <c r="BD101" s="1" t="s">
        <v>124</v>
      </c>
      <c r="BE101" s="94" t="s">
        <v>89</v>
      </c>
      <c r="BF101" s="16">
        <v>0</v>
      </c>
      <c r="BG101" s="16">
        <v>472</v>
      </c>
      <c r="BH101" s="16">
        <v>0.2</v>
      </c>
      <c r="BI101" s="16">
        <f t="shared" si="58"/>
        <v>0</v>
      </c>
      <c r="BJ101" s="20">
        <f t="shared" si="80"/>
        <v>94.4</v>
      </c>
      <c r="BK101" s="89">
        <f t="shared" si="69"/>
        <v>94.4</v>
      </c>
      <c r="BM101" s="94" t="s">
        <v>89</v>
      </c>
      <c r="BN101" s="16">
        <v>0</v>
      </c>
      <c r="BO101" s="16">
        <v>600</v>
      </c>
      <c r="BP101" s="16">
        <v>0.2</v>
      </c>
      <c r="BQ101" s="16">
        <f t="shared" si="59"/>
        <v>0</v>
      </c>
      <c r="BR101" s="20">
        <f t="shared" si="81"/>
        <v>120</v>
      </c>
      <c r="BS101" s="89">
        <f t="shared" si="70"/>
        <v>120</v>
      </c>
      <c r="BU101" s="94" t="s">
        <v>89</v>
      </c>
      <c r="BV101" s="16">
        <v>0</v>
      </c>
      <c r="BW101" s="16">
        <v>240</v>
      </c>
      <c r="BX101" s="16">
        <v>0.2</v>
      </c>
      <c r="BY101" s="16">
        <f t="shared" si="60"/>
        <v>0</v>
      </c>
      <c r="BZ101" s="20">
        <f t="shared" si="82"/>
        <v>48</v>
      </c>
      <c r="CA101" s="89">
        <f t="shared" si="71"/>
        <v>48</v>
      </c>
      <c r="CC101" s="94" t="s">
        <v>89</v>
      </c>
      <c r="CD101" s="16">
        <v>0</v>
      </c>
      <c r="CE101" s="16">
        <v>240</v>
      </c>
      <c r="CF101" s="16">
        <v>0.2</v>
      </c>
      <c r="CG101" s="16">
        <f t="shared" si="61"/>
        <v>0</v>
      </c>
      <c r="CH101" s="20">
        <f t="shared" si="83"/>
        <v>48</v>
      </c>
      <c r="CI101" s="92">
        <f t="shared" si="72"/>
        <v>48</v>
      </c>
      <c r="CK101" s="94" t="s">
        <v>89</v>
      </c>
      <c r="CL101" s="16">
        <v>0</v>
      </c>
      <c r="CM101" s="16">
        <v>0</v>
      </c>
      <c r="CN101" s="16">
        <v>0.2</v>
      </c>
      <c r="CO101" s="16">
        <f t="shared" si="62"/>
        <v>0</v>
      </c>
      <c r="CP101" s="20">
        <f t="shared" si="84"/>
        <v>0</v>
      </c>
      <c r="CQ101" s="89">
        <f t="shared" si="73"/>
        <v>0</v>
      </c>
    </row>
    <row r="102" spans="1:95">
      <c r="A102" s="1"/>
      <c r="B102" s="1"/>
      <c r="D102" s="1"/>
      <c r="E102" s="1"/>
      <c r="F102" s="1"/>
      <c r="G102" s="93">
        <f>SUM(G78:G101)</f>
        <v>2288.4173604060911</v>
      </c>
      <c r="H102" s="1"/>
      <c r="I102" s="1"/>
      <c r="J102" s="1"/>
      <c r="K102" s="1"/>
      <c r="L102" s="1"/>
      <c r="M102" s="1"/>
      <c r="N102" s="1"/>
      <c r="O102" s="93">
        <f>SUM(O78:O101)</f>
        <v>2080.3891878172594</v>
      </c>
      <c r="P102" s="1"/>
      <c r="Q102" s="1"/>
      <c r="R102" s="1"/>
      <c r="S102" s="1"/>
      <c r="T102" s="1"/>
      <c r="U102" s="1"/>
      <c r="V102" s="1"/>
      <c r="W102" s="93">
        <f>SUM(W78:W101)</f>
        <v>2048.5672081218272</v>
      </c>
      <c r="AE102" s="93">
        <f>SUM(AE78:AE101)</f>
        <v>2357.1413705583759</v>
      </c>
      <c r="AF102" s="1"/>
      <c r="AM102" s="80">
        <f>SUM(AM78:AM101)</f>
        <v>2630.44</v>
      </c>
      <c r="AU102" s="80">
        <f>SUM(AU78:AU101)</f>
        <v>2149.645</v>
      </c>
      <c r="BC102" s="80">
        <f>SUM(BC78:BC101)</f>
        <v>1941.13</v>
      </c>
      <c r="BK102" s="80">
        <f>SUM(BK78:BK101)</f>
        <v>2057.6549999999997</v>
      </c>
      <c r="BS102" s="80">
        <f>SUM(BS78:BS101)</f>
        <v>1752.66</v>
      </c>
      <c r="CA102" s="80">
        <f>SUM(CA78:CA101)</f>
        <v>2195.9850000000001</v>
      </c>
      <c r="CI102" s="80">
        <f>SUM(CI78:CI101)</f>
        <v>2753.19</v>
      </c>
      <c r="CQ102" s="80">
        <f>SUM(CQ78:CQ101)</f>
        <v>3420</v>
      </c>
    </row>
    <row r="103" spans="1:95">
      <c r="A103" s="1"/>
      <c r="B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</row>
    <row r="104" spans="1:95">
      <c r="C104"/>
    </row>
    <row r="105" spans="1:95">
      <c r="BA105" s="97"/>
    </row>
  </sheetData>
  <mergeCells count="1">
    <mergeCell ref="A39:A42"/>
  </mergeCells>
  <pageMargins left="0" right="0" top="0" bottom="0" header="0" footer="0"/>
  <pageSetup paperSize="9"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35"/>
  <sheetViews>
    <sheetView zoomScale="75" zoomScaleNormal="75" workbookViewId="0">
      <selection activeCell="Q38" sqref="Q38"/>
    </sheetView>
  </sheetViews>
  <sheetFormatPr defaultRowHeight="15"/>
  <cols>
    <col min="3" max="3" width="10.85546875" customWidth="1"/>
    <col min="16" max="16" width="0.85546875" customWidth="1"/>
    <col min="17" max="17" width="14.7109375" customWidth="1"/>
    <col min="18" max="18" width="10.42578125" customWidth="1"/>
    <col min="19" max="19" width="11.42578125" customWidth="1"/>
    <col min="20" max="20" width="6.7109375" customWidth="1"/>
  </cols>
  <sheetData>
    <row r="1" spans="1:20">
      <c r="A1" s="40"/>
      <c r="B1" s="41"/>
      <c r="C1" s="42"/>
      <c r="D1" s="55" t="s">
        <v>38</v>
      </c>
      <c r="E1" s="56" t="s">
        <v>38</v>
      </c>
      <c r="F1" s="56" t="s">
        <v>38</v>
      </c>
      <c r="G1" s="56" t="s">
        <v>38</v>
      </c>
      <c r="H1" s="56" t="s">
        <v>38</v>
      </c>
      <c r="I1" s="56" t="s">
        <v>38</v>
      </c>
      <c r="J1" s="56" t="s">
        <v>38</v>
      </c>
      <c r="K1" s="56" t="s">
        <v>38</v>
      </c>
      <c r="L1" s="56" t="s">
        <v>38</v>
      </c>
      <c r="M1" s="56" t="s">
        <v>38</v>
      </c>
      <c r="N1" s="56" t="s">
        <v>38</v>
      </c>
      <c r="O1" s="57" t="s">
        <v>38</v>
      </c>
      <c r="P1" s="1"/>
      <c r="Q1" s="98"/>
      <c r="R1" s="99">
        <v>42338</v>
      </c>
      <c r="S1" s="100"/>
      <c r="T1" s="101"/>
    </row>
    <row r="2" spans="1:20">
      <c r="A2" s="43"/>
      <c r="B2" s="44" t="s">
        <v>62</v>
      </c>
      <c r="C2" s="45"/>
      <c r="D2" s="58" t="s">
        <v>30</v>
      </c>
      <c r="E2" s="59" t="s">
        <v>31</v>
      </c>
      <c r="F2" s="59" t="s">
        <v>32</v>
      </c>
      <c r="G2" s="59" t="s">
        <v>33</v>
      </c>
      <c r="H2" s="59" t="s">
        <v>39</v>
      </c>
      <c r="I2" s="59" t="s">
        <v>53</v>
      </c>
      <c r="J2" s="59" t="s">
        <v>55</v>
      </c>
      <c r="K2" s="59" t="s">
        <v>56</v>
      </c>
      <c r="L2" s="59" t="s">
        <v>57</v>
      </c>
      <c r="M2" s="59" t="s">
        <v>58</v>
      </c>
      <c r="N2" s="59" t="s">
        <v>59</v>
      </c>
      <c r="O2" s="60" t="s">
        <v>60</v>
      </c>
      <c r="P2" s="1"/>
      <c r="Q2" s="102" t="s">
        <v>100</v>
      </c>
      <c r="R2" s="103">
        <v>2281.9599999999991</v>
      </c>
      <c r="S2" s="104"/>
      <c r="T2" s="105"/>
    </row>
    <row r="3" spans="1:20">
      <c r="A3" s="46"/>
      <c r="B3" s="47"/>
      <c r="C3" s="48"/>
      <c r="D3" s="61" t="s">
        <v>0</v>
      </c>
      <c r="E3" s="62" t="s">
        <v>0</v>
      </c>
      <c r="F3" s="62" t="s">
        <v>0</v>
      </c>
      <c r="G3" s="62" t="s">
        <v>0</v>
      </c>
      <c r="H3" s="62" t="s">
        <v>0</v>
      </c>
      <c r="I3" s="62" t="s">
        <v>0</v>
      </c>
      <c r="J3" s="62" t="s">
        <v>0</v>
      </c>
      <c r="K3" s="62" t="s">
        <v>0</v>
      </c>
      <c r="L3" s="62" t="s">
        <v>0</v>
      </c>
      <c r="M3" s="62" t="s">
        <v>0</v>
      </c>
      <c r="N3" s="62" t="s">
        <v>0</v>
      </c>
      <c r="O3" s="63" t="s">
        <v>0</v>
      </c>
      <c r="P3" s="1"/>
      <c r="Q3" s="114" t="s">
        <v>101</v>
      </c>
      <c r="R3" s="103">
        <v>11428.63</v>
      </c>
      <c r="S3" s="104"/>
      <c r="T3" s="105"/>
    </row>
    <row r="4" spans="1:20">
      <c r="A4" s="49" t="s">
        <v>6</v>
      </c>
      <c r="B4" s="34"/>
      <c r="C4" s="35"/>
      <c r="D4" s="31">
        <v>130.19999999999999</v>
      </c>
      <c r="E4" s="31">
        <v>107.80000000000001</v>
      </c>
      <c r="F4" s="31">
        <v>124.59999999999998</v>
      </c>
      <c r="G4" s="31">
        <v>107.99</v>
      </c>
      <c r="H4" s="31">
        <v>38.800000000000011</v>
      </c>
      <c r="I4" s="31">
        <v>67.199999999999989</v>
      </c>
      <c r="J4" s="31">
        <v>55.779999999999973</v>
      </c>
      <c r="K4" s="31">
        <v>124.74000000000001</v>
      </c>
      <c r="L4" s="31">
        <v>284.84000000000003</v>
      </c>
      <c r="M4" s="31">
        <v>110.40000000000003</v>
      </c>
      <c r="N4" s="31">
        <v>94.600000000000023</v>
      </c>
      <c r="O4" s="31">
        <v>0</v>
      </c>
      <c r="P4" s="1"/>
      <c r="Q4" s="115" t="s">
        <v>102</v>
      </c>
      <c r="R4" s="103">
        <v>7958.2610000000004</v>
      </c>
      <c r="S4" s="104"/>
      <c r="T4" s="105"/>
    </row>
    <row r="5" spans="1:20" ht="15.75">
      <c r="A5" s="50" t="s">
        <v>49</v>
      </c>
      <c r="B5" s="36"/>
      <c r="C5" s="37"/>
      <c r="D5" s="32">
        <v>276</v>
      </c>
      <c r="E5" s="32">
        <v>470</v>
      </c>
      <c r="F5" s="32">
        <v>36</v>
      </c>
      <c r="G5" s="32">
        <v>509.40000000000009</v>
      </c>
      <c r="H5" s="32">
        <v>694.40000000000009</v>
      </c>
      <c r="I5" s="32">
        <v>782</v>
      </c>
      <c r="J5" s="32">
        <v>728.64</v>
      </c>
      <c r="K5" s="32">
        <v>153</v>
      </c>
      <c r="L5" s="32">
        <v>378.54999999999995</v>
      </c>
      <c r="M5" s="32">
        <v>579.28</v>
      </c>
      <c r="N5" s="32">
        <v>610.40000000000009</v>
      </c>
      <c r="O5" s="32">
        <v>0</v>
      </c>
      <c r="P5" s="8"/>
      <c r="Q5" s="115" t="s">
        <v>103</v>
      </c>
      <c r="R5" s="103">
        <v>7399.4250000000002</v>
      </c>
      <c r="S5" s="104"/>
      <c r="T5" s="105"/>
    </row>
    <row r="6" spans="1:20" ht="15.75">
      <c r="A6" s="50" t="s">
        <v>8</v>
      </c>
      <c r="B6" s="36"/>
      <c r="C6" s="37"/>
      <c r="D6" s="32">
        <v>456</v>
      </c>
      <c r="E6" s="32">
        <v>23.5</v>
      </c>
      <c r="F6" s="32">
        <v>413.18000000000006</v>
      </c>
      <c r="G6" s="32">
        <v>710.11999999999989</v>
      </c>
      <c r="H6" s="32">
        <v>338.495</v>
      </c>
      <c r="I6" s="32">
        <v>391</v>
      </c>
      <c r="J6" s="32">
        <v>274.94</v>
      </c>
      <c r="K6" s="32">
        <v>203</v>
      </c>
      <c r="L6" s="32">
        <v>302.5</v>
      </c>
      <c r="M6" s="32">
        <v>377</v>
      </c>
      <c r="N6" s="32">
        <v>499.79999999999995</v>
      </c>
      <c r="O6" s="32">
        <v>0</v>
      </c>
      <c r="P6" s="7"/>
      <c r="Q6" s="106" t="s">
        <v>104</v>
      </c>
      <c r="R6" s="103">
        <v>29068.275999999998</v>
      </c>
      <c r="S6" s="104"/>
      <c r="T6" s="105"/>
    </row>
    <row r="7" spans="1:20" ht="15.75">
      <c r="A7" s="50" t="s">
        <v>9</v>
      </c>
      <c r="B7" s="36"/>
      <c r="C7" s="37"/>
      <c r="D7" s="32">
        <v>71.539999999999992</v>
      </c>
      <c r="E7" s="32">
        <v>0</v>
      </c>
      <c r="F7" s="32">
        <v>11.61</v>
      </c>
      <c r="G7" s="32">
        <v>11.61</v>
      </c>
      <c r="H7" s="32">
        <v>1.6200000000000045</v>
      </c>
      <c r="I7" s="32">
        <v>95.58</v>
      </c>
      <c r="J7" s="32">
        <v>40.39</v>
      </c>
      <c r="K7" s="32">
        <v>34.320000000000007</v>
      </c>
      <c r="L7" s="32">
        <v>67.58</v>
      </c>
      <c r="M7" s="32">
        <v>0</v>
      </c>
      <c r="N7" s="32">
        <v>0</v>
      </c>
      <c r="O7" s="32">
        <v>0</v>
      </c>
      <c r="P7" s="7"/>
      <c r="Q7" s="106"/>
      <c r="R7" s="103"/>
      <c r="S7" s="104"/>
      <c r="T7" s="105"/>
    </row>
    <row r="8" spans="1:20" ht="15.75">
      <c r="A8" s="50" t="s">
        <v>10</v>
      </c>
      <c r="B8" s="36"/>
      <c r="C8" s="37"/>
      <c r="D8" s="32">
        <v>0</v>
      </c>
      <c r="E8" s="32">
        <v>0</v>
      </c>
      <c r="F8" s="32">
        <v>0</v>
      </c>
      <c r="G8" s="32">
        <v>0</v>
      </c>
      <c r="H8" s="32">
        <v>0</v>
      </c>
      <c r="I8" s="32">
        <v>0</v>
      </c>
      <c r="J8" s="32">
        <v>0</v>
      </c>
      <c r="K8" s="32">
        <v>0</v>
      </c>
      <c r="L8" s="32">
        <v>0</v>
      </c>
      <c r="M8" s="32">
        <v>0</v>
      </c>
      <c r="N8" s="32">
        <v>0</v>
      </c>
      <c r="O8" s="32">
        <v>0</v>
      </c>
      <c r="P8" s="7"/>
      <c r="Q8" s="106" t="s">
        <v>105</v>
      </c>
      <c r="R8" s="103">
        <v>26362.165000000001</v>
      </c>
      <c r="S8" s="104"/>
      <c r="T8" s="105"/>
    </row>
    <row r="9" spans="1:20" ht="15.75">
      <c r="A9" s="50" t="s">
        <v>11</v>
      </c>
      <c r="B9" s="36"/>
      <c r="C9" s="37"/>
      <c r="D9" s="32">
        <v>129</v>
      </c>
      <c r="E9" s="32">
        <v>31</v>
      </c>
      <c r="F9" s="32">
        <v>130.05000000000001</v>
      </c>
      <c r="G9" s="32">
        <v>92.44</v>
      </c>
      <c r="H9" s="32">
        <v>52</v>
      </c>
      <c r="I9" s="32">
        <v>122</v>
      </c>
      <c r="J9" s="32">
        <v>172</v>
      </c>
      <c r="K9" s="32">
        <v>123</v>
      </c>
      <c r="L9" s="32">
        <v>16</v>
      </c>
      <c r="M9" s="32">
        <v>224</v>
      </c>
      <c r="N9" s="32">
        <v>292</v>
      </c>
      <c r="O9" s="32">
        <v>0</v>
      </c>
      <c r="P9" s="7"/>
      <c r="Q9" s="106"/>
      <c r="R9" s="103"/>
      <c r="S9" s="104" t="s">
        <v>136</v>
      </c>
      <c r="T9" s="105" t="s">
        <v>107</v>
      </c>
    </row>
    <row r="10" spans="1:20" ht="15.75">
      <c r="A10" s="50" t="s">
        <v>12</v>
      </c>
      <c r="B10" s="36"/>
      <c r="C10" s="37"/>
      <c r="D10" s="32">
        <v>83</v>
      </c>
      <c r="E10" s="32">
        <v>3</v>
      </c>
      <c r="F10" s="32">
        <v>52</v>
      </c>
      <c r="G10" s="32">
        <v>64</v>
      </c>
      <c r="H10" s="32">
        <v>101</v>
      </c>
      <c r="I10" s="32">
        <v>15</v>
      </c>
      <c r="J10" s="32">
        <v>113</v>
      </c>
      <c r="K10" s="32">
        <v>2</v>
      </c>
      <c r="L10" s="32">
        <v>129</v>
      </c>
      <c r="M10" s="32">
        <v>142</v>
      </c>
      <c r="N10" s="32">
        <v>208</v>
      </c>
      <c r="O10" s="32">
        <v>0</v>
      </c>
      <c r="P10" s="8"/>
      <c r="Q10" s="107" t="s">
        <v>106</v>
      </c>
      <c r="R10" s="108">
        <v>2706.1109999999971</v>
      </c>
      <c r="S10" s="108">
        <v>2753.19</v>
      </c>
      <c r="T10" s="109">
        <v>47.079000000002907</v>
      </c>
    </row>
    <row r="11" spans="1:20" ht="15.75">
      <c r="A11" s="50" t="s">
        <v>13</v>
      </c>
      <c r="B11" s="36"/>
      <c r="C11" s="37"/>
      <c r="D11" s="32">
        <v>139.59999999999997</v>
      </c>
      <c r="E11" s="32">
        <v>145.19999999999999</v>
      </c>
      <c r="F11" s="32">
        <v>114.00000000000001</v>
      </c>
      <c r="G11" s="32">
        <v>54.000000000000014</v>
      </c>
      <c r="H11" s="32">
        <v>129.59999999999997</v>
      </c>
      <c r="I11" s="32">
        <v>132.00000000000003</v>
      </c>
      <c r="J11" s="32">
        <v>152.40000000000003</v>
      </c>
      <c r="K11" s="32">
        <v>110.80000000000001</v>
      </c>
      <c r="L11" s="32">
        <v>177.59999999999997</v>
      </c>
      <c r="M11" s="32">
        <v>291.2</v>
      </c>
      <c r="N11" s="32">
        <v>190.40000000000003</v>
      </c>
      <c r="O11" s="32">
        <v>0</v>
      </c>
      <c r="P11" s="7"/>
      <c r="Q11" s="1"/>
      <c r="R11" s="1"/>
      <c r="S11" s="1"/>
      <c r="T11" s="1"/>
    </row>
    <row r="12" spans="1:20" ht="15.75">
      <c r="A12" s="50" t="s">
        <v>14</v>
      </c>
      <c r="B12" s="36"/>
      <c r="C12" s="37"/>
      <c r="D12" s="32">
        <v>6.3000000000000043</v>
      </c>
      <c r="E12" s="32">
        <v>24.499999999999993</v>
      </c>
      <c r="F12" s="32">
        <v>96</v>
      </c>
      <c r="G12" s="32">
        <v>119.9</v>
      </c>
      <c r="H12" s="32">
        <v>4.9000000000000057</v>
      </c>
      <c r="I12" s="32">
        <v>51.8</v>
      </c>
      <c r="J12" s="32">
        <v>-0.70000000000000284</v>
      </c>
      <c r="K12" s="32">
        <v>0</v>
      </c>
      <c r="L12" s="32">
        <v>39.200000000000003</v>
      </c>
      <c r="M12" s="32">
        <v>11.899999999999991</v>
      </c>
      <c r="N12" s="32">
        <v>66.5</v>
      </c>
      <c r="O12" s="32">
        <v>0</v>
      </c>
      <c r="P12" s="7"/>
      <c r="Q12" s="1"/>
      <c r="R12" s="1"/>
      <c r="S12" s="1"/>
      <c r="T12" s="1"/>
    </row>
    <row r="13" spans="1:20" ht="15.75">
      <c r="A13" s="50" t="s">
        <v>15</v>
      </c>
      <c r="B13" s="36"/>
      <c r="C13" s="37"/>
      <c r="D13" s="32">
        <v>178.8</v>
      </c>
      <c r="E13" s="32">
        <v>66</v>
      </c>
      <c r="F13" s="32">
        <v>74.400000000000006</v>
      </c>
      <c r="G13" s="32">
        <v>188.8</v>
      </c>
      <c r="H13" s="32">
        <v>135.20000000000002</v>
      </c>
      <c r="I13" s="32">
        <v>117.99999999999997</v>
      </c>
      <c r="J13" s="32">
        <v>340.4</v>
      </c>
      <c r="K13" s="32">
        <v>128.80000000000001</v>
      </c>
      <c r="L13" s="32">
        <v>100.79999999999998</v>
      </c>
      <c r="M13" s="32">
        <v>226.40000000000003</v>
      </c>
      <c r="N13" s="32">
        <v>350.2600000000001</v>
      </c>
      <c r="O13" s="32">
        <v>0</v>
      </c>
      <c r="P13" s="7"/>
      <c r="Q13" s="1"/>
      <c r="R13" s="1"/>
      <c r="S13" s="1"/>
      <c r="T13" s="1"/>
    </row>
    <row r="14" spans="1:20" ht="15.75">
      <c r="A14" s="50" t="s">
        <v>50</v>
      </c>
      <c r="B14" s="36"/>
      <c r="C14" s="37"/>
      <c r="D14" s="32">
        <v>0</v>
      </c>
      <c r="E14" s="32">
        <v>0</v>
      </c>
      <c r="F14" s="32">
        <v>0</v>
      </c>
      <c r="G14" s="32">
        <v>0</v>
      </c>
      <c r="H14" s="32">
        <v>0</v>
      </c>
      <c r="I14" s="32">
        <v>0</v>
      </c>
      <c r="J14" s="32">
        <v>0</v>
      </c>
      <c r="K14" s="32">
        <v>-11.600000000000009</v>
      </c>
      <c r="L14" s="32">
        <v>209.60000000000002</v>
      </c>
      <c r="M14" s="32">
        <v>80</v>
      </c>
      <c r="N14" s="32">
        <v>0</v>
      </c>
      <c r="O14" s="32">
        <v>0</v>
      </c>
      <c r="P14" s="7"/>
      <c r="Q14" s="1"/>
      <c r="R14" s="1"/>
      <c r="S14" s="1"/>
      <c r="T14" s="1"/>
    </row>
    <row r="15" spans="1:20" ht="15.75">
      <c r="A15" s="50" t="s">
        <v>17</v>
      </c>
      <c r="B15" s="36"/>
      <c r="C15" s="37"/>
      <c r="D15" s="32">
        <v>14.719999999999999</v>
      </c>
      <c r="E15" s="32">
        <v>37.76</v>
      </c>
      <c r="F15" s="32">
        <v>21.120000000000005</v>
      </c>
      <c r="G15" s="32">
        <v>5.759999999999998</v>
      </c>
      <c r="H15" s="32">
        <v>15.200000000000001</v>
      </c>
      <c r="I15" s="32">
        <v>3.1999999999999993</v>
      </c>
      <c r="J15" s="32">
        <v>4.6400000000000006</v>
      </c>
      <c r="K15" s="32">
        <v>11.68</v>
      </c>
      <c r="L15" s="32">
        <v>3.52</v>
      </c>
      <c r="M15" s="32">
        <v>3.0400000000000009</v>
      </c>
      <c r="N15" s="32">
        <v>7.1999999999999993</v>
      </c>
      <c r="O15" s="32">
        <v>0</v>
      </c>
      <c r="P15" s="7"/>
      <c r="Q15" s="1"/>
      <c r="R15" s="1"/>
      <c r="S15" s="1"/>
      <c r="T15" s="1"/>
    </row>
    <row r="16" spans="1:20" ht="15.75">
      <c r="A16" s="50" t="s">
        <v>18</v>
      </c>
      <c r="B16" s="36"/>
      <c r="C16" s="37"/>
      <c r="D16" s="32">
        <v>15.839999999999996</v>
      </c>
      <c r="E16" s="32">
        <v>12.96</v>
      </c>
      <c r="F16" s="32">
        <v>9.6000000000000014</v>
      </c>
      <c r="G16" s="32">
        <v>18.600000000000001</v>
      </c>
      <c r="H16" s="32">
        <v>7.5599999999999987</v>
      </c>
      <c r="I16" s="32">
        <v>25.799999999999997</v>
      </c>
      <c r="J16" s="32">
        <v>23.64</v>
      </c>
      <c r="K16" s="32">
        <v>11.399999999999999</v>
      </c>
      <c r="L16" s="32">
        <v>3.120000000000001</v>
      </c>
      <c r="M16" s="32">
        <v>28.56</v>
      </c>
      <c r="N16" s="32">
        <v>17.639999999999997</v>
      </c>
      <c r="O16" s="32">
        <v>0</v>
      </c>
      <c r="P16" s="7"/>
      <c r="Q16" s="1"/>
      <c r="R16" s="1"/>
      <c r="S16" s="1"/>
      <c r="T16" s="1"/>
    </row>
    <row r="17" spans="1:20" ht="15.75">
      <c r="A17" s="50" t="s">
        <v>19</v>
      </c>
      <c r="B17" s="36"/>
      <c r="C17" s="37"/>
      <c r="D17" s="32">
        <v>14.8</v>
      </c>
      <c r="E17" s="32">
        <v>10.399999999999991</v>
      </c>
      <c r="F17" s="32">
        <v>26.400000000000006</v>
      </c>
      <c r="G17" s="32">
        <v>19.199999999999996</v>
      </c>
      <c r="H17" s="32">
        <v>34.400000000000006</v>
      </c>
      <c r="I17" s="32">
        <v>8</v>
      </c>
      <c r="J17" s="32">
        <v>22.800000000000004</v>
      </c>
      <c r="K17" s="32">
        <v>40.799999999999997</v>
      </c>
      <c r="L17" s="32">
        <v>4.3999999999999986</v>
      </c>
      <c r="M17" s="32">
        <v>29.600000000000005</v>
      </c>
      <c r="N17" s="32">
        <v>0.79999999999999716</v>
      </c>
      <c r="O17" s="32">
        <v>0</v>
      </c>
      <c r="P17" s="7"/>
      <c r="Q17" s="1"/>
      <c r="R17" s="1"/>
      <c r="S17" s="1"/>
      <c r="T17" s="1"/>
    </row>
    <row r="18" spans="1:20" ht="15.75">
      <c r="A18" s="50" t="s">
        <v>20</v>
      </c>
      <c r="B18" s="36"/>
      <c r="C18" s="37"/>
      <c r="D18" s="32">
        <v>0</v>
      </c>
      <c r="E18" s="32">
        <v>0</v>
      </c>
      <c r="F18" s="32">
        <v>0</v>
      </c>
      <c r="G18" s="32">
        <v>0</v>
      </c>
      <c r="H18" s="32">
        <v>0</v>
      </c>
      <c r="I18" s="32">
        <v>60</v>
      </c>
      <c r="J18" s="32">
        <v>0</v>
      </c>
      <c r="K18" s="32">
        <v>0</v>
      </c>
      <c r="L18" s="32">
        <v>0</v>
      </c>
      <c r="M18" s="32">
        <v>0</v>
      </c>
      <c r="N18" s="32">
        <v>0</v>
      </c>
      <c r="O18" s="32">
        <v>0</v>
      </c>
      <c r="P18" s="7"/>
      <c r="Q18" s="1"/>
      <c r="R18" s="1"/>
      <c r="S18" s="1"/>
      <c r="T18" s="1"/>
    </row>
    <row r="19" spans="1:20" ht="15.75">
      <c r="A19" s="50" t="s">
        <v>21</v>
      </c>
      <c r="B19" s="36"/>
      <c r="C19" s="37"/>
      <c r="D19" s="32">
        <v>10</v>
      </c>
      <c r="E19" s="32">
        <v>81</v>
      </c>
      <c r="F19" s="32">
        <v>137</v>
      </c>
      <c r="G19" s="32">
        <v>133</v>
      </c>
      <c r="H19" s="32">
        <v>85</v>
      </c>
      <c r="I19" s="32">
        <v>100</v>
      </c>
      <c r="J19" s="32">
        <v>165</v>
      </c>
      <c r="K19" s="32">
        <v>108</v>
      </c>
      <c r="L19" s="32">
        <v>84</v>
      </c>
      <c r="M19" s="32">
        <v>49</v>
      </c>
      <c r="N19" s="32">
        <v>27</v>
      </c>
      <c r="O19" s="32">
        <v>0</v>
      </c>
      <c r="P19" s="7"/>
      <c r="Q19" s="96"/>
      <c r="R19" s="1"/>
      <c r="S19" s="1"/>
      <c r="T19" s="1"/>
    </row>
    <row r="20" spans="1:20" ht="15.75">
      <c r="A20" s="50" t="s">
        <v>22</v>
      </c>
      <c r="B20" s="36"/>
      <c r="C20" s="37"/>
      <c r="D20" s="32">
        <v>41</v>
      </c>
      <c r="E20" s="32">
        <v>74</v>
      </c>
      <c r="F20" s="32">
        <v>46</v>
      </c>
      <c r="G20" s="32">
        <v>112</v>
      </c>
      <c r="H20" s="32">
        <v>141</v>
      </c>
      <c r="I20" s="32">
        <v>179</v>
      </c>
      <c r="J20" s="32">
        <v>66</v>
      </c>
      <c r="K20" s="32">
        <v>60</v>
      </c>
      <c r="L20" s="32">
        <v>31</v>
      </c>
      <c r="M20" s="32">
        <v>108</v>
      </c>
      <c r="N20" s="32">
        <v>16</v>
      </c>
      <c r="O20" s="32">
        <v>0</v>
      </c>
      <c r="P20" s="7"/>
      <c r="Q20" s="1"/>
      <c r="R20" s="1"/>
      <c r="S20" s="1"/>
      <c r="T20" s="1"/>
    </row>
    <row r="21" spans="1:20" ht="15.75">
      <c r="A21" s="50" t="s">
        <v>23</v>
      </c>
      <c r="B21" s="36"/>
      <c r="C21" s="37"/>
      <c r="D21" s="32">
        <v>79.75</v>
      </c>
      <c r="E21" s="32">
        <v>87.625</v>
      </c>
      <c r="F21" s="32">
        <v>26.875</v>
      </c>
      <c r="G21" s="32">
        <v>-1.1299999999999955</v>
      </c>
      <c r="H21" s="32">
        <v>10</v>
      </c>
      <c r="I21" s="32">
        <v>50.625</v>
      </c>
      <c r="J21" s="32">
        <v>15.375</v>
      </c>
      <c r="K21" s="32">
        <v>9.625</v>
      </c>
      <c r="L21" s="32">
        <v>51.645000000000003</v>
      </c>
      <c r="M21" s="32">
        <v>9.25</v>
      </c>
      <c r="N21" s="32">
        <v>-1.625</v>
      </c>
      <c r="O21" s="32">
        <v>0</v>
      </c>
      <c r="P21" s="7"/>
      <c r="Q21" s="1"/>
      <c r="R21" s="1"/>
      <c r="S21" s="1"/>
      <c r="T21" s="1"/>
    </row>
    <row r="22" spans="1:20" ht="15.75">
      <c r="A22" s="50" t="s">
        <v>24</v>
      </c>
      <c r="B22" s="36"/>
      <c r="C22" s="37"/>
      <c r="D22" s="32">
        <v>3.4000000000000021</v>
      </c>
      <c r="E22" s="32">
        <v>9.7999999999999989</v>
      </c>
      <c r="F22" s="32">
        <v>4.8000000000000007</v>
      </c>
      <c r="G22" s="32">
        <v>2.6</v>
      </c>
      <c r="H22" s="32">
        <v>2.4</v>
      </c>
      <c r="I22" s="32">
        <v>2.4000000000000004</v>
      </c>
      <c r="J22" s="32">
        <v>26.6</v>
      </c>
      <c r="K22" s="32">
        <v>23.999999999999996</v>
      </c>
      <c r="L22" s="32">
        <v>1.4</v>
      </c>
      <c r="M22" s="32">
        <v>1.2000000000000002</v>
      </c>
      <c r="N22" s="32">
        <v>-0.39999999999999947</v>
      </c>
      <c r="O22" s="32">
        <v>0</v>
      </c>
      <c r="P22" s="7"/>
      <c r="Q22" s="1"/>
      <c r="R22" s="1"/>
      <c r="S22" s="1"/>
      <c r="T22" s="1"/>
    </row>
    <row r="23" spans="1:20" ht="15.75">
      <c r="A23" s="50" t="s">
        <v>25</v>
      </c>
      <c r="B23" s="36"/>
      <c r="C23" s="37"/>
      <c r="D23" s="32">
        <v>4.2639593908631923E-2</v>
      </c>
      <c r="E23" s="32">
        <v>12.878172588832484</v>
      </c>
      <c r="F23" s="32">
        <v>11.131979695431472</v>
      </c>
      <c r="G23" s="32">
        <v>14.755837563451777</v>
      </c>
      <c r="H23" s="32">
        <v>91.871370558375617</v>
      </c>
      <c r="I23" s="32">
        <v>92.48</v>
      </c>
      <c r="J23" s="32">
        <v>41</v>
      </c>
      <c r="K23" s="32">
        <v>0.8</v>
      </c>
      <c r="L23" s="32">
        <v>1.4</v>
      </c>
      <c r="M23" s="32">
        <v>7.1</v>
      </c>
      <c r="N23" s="32">
        <v>8.0399999999999991</v>
      </c>
      <c r="O23" s="32">
        <v>0</v>
      </c>
      <c r="P23" s="7"/>
      <c r="Q23" s="1"/>
      <c r="R23" s="1"/>
      <c r="S23" s="1"/>
      <c r="T23" s="1"/>
    </row>
    <row r="24" spans="1:20" ht="15.75">
      <c r="A24" s="50" t="s">
        <v>52</v>
      </c>
      <c r="B24" s="36"/>
      <c r="C24" s="37"/>
      <c r="D24" s="32">
        <v>183.8</v>
      </c>
      <c r="E24" s="32">
        <v>42</v>
      </c>
      <c r="F24" s="32">
        <v>34.29</v>
      </c>
      <c r="G24" s="32">
        <v>0</v>
      </c>
      <c r="H24" s="32">
        <v>12.71</v>
      </c>
      <c r="I24" s="32">
        <v>160.54</v>
      </c>
      <c r="J24" s="32">
        <v>0</v>
      </c>
      <c r="K24" s="32">
        <v>46.4</v>
      </c>
      <c r="L24" s="32">
        <v>45.41</v>
      </c>
      <c r="M24" s="32">
        <v>16.8</v>
      </c>
      <c r="N24" s="32">
        <v>119.28</v>
      </c>
      <c r="O24" s="32">
        <v>0</v>
      </c>
      <c r="P24" s="7"/>
      <c r="Q24" s="1"/>
      <c r="R24" s="1"/>
      <c r="S24" s="1"/>
      <c r="T24" s="1"/>
    </row>
    <row r="25" spans="1:20" ht="15.75">
      <c r="A25" s="50" t="s">
        <v>27</v>
      </c>
      <c r="B25" s="36"/>
      <c r="C25" s="37"/>
      <c r="D25" s="32">
        <v>-1.75</v>
      </c>
      <c r="E25" s="32">
        <v>-0.75</v>
      </c>
      <c r="F25" s="32">
        <v>0</v>
      </c>
      <c r="G25" s="32">
        <v>5.75</v>
      </c>
      <c r="H25" s="32">
        <v>-5</v>
      </c>
      <c r="I25" s="32">
        <v>0.5</v>
      </c>
      <c r="J25" s="32">
        <v>0.25</v>
      </c>
      <c r="K25" s="32">
        <v>-0.75</v>
      </c>
      <c r="L25" s="32">
        <v>0</v>
      </c>
      <c r="M25" s="32">
        <v>0.25</v>
      </c>
      <c r="N25" s="32">
        <v>2.5</v>
      </c>
      <c r="O25" s="32">
        <v>0</v>
      </c>
      <c r="P25" s="7"/>
      <c r="Q25" s="1"/>
      <c r="R25" s="1"/>
      <c r="S25" s="1"/>
      <c r="T25" s="1"/>
    </row>
    <row r="26" spans="1:20" ht="15.75">
      <c r="A26" s="50" t="s">
        <v>28</v>
      </c>
      <c r="B26" s="36"/>
      <c r="C26" s="37"/>
      <c r="D26" s="32">
        <v>94.77</v>
      </c>
      <c r="E26" s="32">
        <v>45.45</v>
      </c>
      <c r="F26" s="32">
        <v>14.459999999999997</v>
      </c>
      <c r="G26" s="32">
        <v>41.55</v>
      </c>
      <c r="H26" s="32">
        <v>15.119999999999997</v>
      </c>
      <c r="I26" s="32">
        <v>70.180000000000007</v>
      </c>
      <c r="J26" s="32">
        <v>25.409999999999997</v>
      </c>
      <c r="K26" s="32">
        <v>5.46</v>
      </c>
      <c r="L26" s="32">
        <v>14.64</v>
      </c>
      <c r="M26" s="32">
        <v>62.089999999999996</v>
      </c>
      <c r="N26" s="32">
        <v>31.5</v>
      </c>
      <c r="O26" s="32">
        <v>0</v>
      </c>
      <c r="P26" s="7"/>
      <c r="Q26" s="1"/>
      <c r="R26" s="1"/>
      <c r="S26" s="1"/>
      <c r="T26" s="1"/>
    </row>
    <row r="27" spans="1:20" ht="15.75">
      <c r="A27" s="50" t="s">
        <v>29</v>
      </c>
      <c r="B27" s="36"/>
      <c r="C27" s="37"/>
      <c r="D27" s="32">
        <v>0</v>
      </c>
      <c r="E27" s="32">
        <v>0</v>
      </c>
      <c r="F27" s="32">
        <v>0</v>
      </c>
      <c r="G27" s="32">
        <v>0</v>
      </c>
      <c r="H27" s="32">
        <v>0</v>
      </c>
      <c r="I27" s="32">
        <v>0</v>
      </c>
      <c r="J27" s="32">
        <v>30</v>
      </c>
      <c r="K27" s="32">
        <v>0</v>
      </c>
      <c r="L27" s="32">
        <v>0</v>
      </c>
      <c r="M27" s="32">
        <v>0</v>
      </c>
      <c r="N27" s="32">
        <v>25.029</v>
      </c>
      <c r="O27" s="32">
        <v>0</v>
      </c>
      <c r="P27" s="7"/>
      <c r="Q27" s="1"/>
      <c r="R27" s="1"/>
      <c r="S27" s="1"/>
      <c r="T27" s="1"/>
    </row>
    <row r="28" spans="1:20" ht="15.75">
      <c r="A28" s="50" t="s">
        <v>43</v>
      </c>
      <c r="B28" s="36"/>
      <c r="C28" s="37"/>
      <c r="D28" s="32">
        <v>0</v>
      </c>
      <c r="E28" s="32">
        <v>0</v>
      </c>
      <c r="F28" s="32">
        <v>0</v>
      </c>
      <c r="G28" s="32">
        <v>31.5</v>
      </c>
      <c r="H28" s="32">
        <v>0</v>
      </c>
      <c r="I28" s="32">
        <v>72</v>
      </c>
      <c r="J28" s="32">
        <v>0</v>
      </c>
      <c r="K28" s="32">
        <v>0</v>
      </c>
      <c r="L28" s="32">
        <v>0</v>
      </c>
      <c r="M28" s="32">
        <v>0</v>
      </c>
      <c r="N28" s="32">
        <v>0</v>
      </c>
      <c r="O28" s="32">
        <v>0</v>
      </c>
      <c r="P28" s="7"/>
      <c r="Q28" s="1"/>
      <c r="R28" s="1"/>
      <c r="S28" s="1"/>
      <c r="T28" s="1"/>
    </row>
    <row r="29" spans="1:20" ht="15.75">
      <c r="A29" s="50" t="s">
        <v>51</v>
      </c>
      <c r="B29" s="36"/>
      <c r="C29" s="37"/>
      <c r="D29" s="32">
        <v>0</v>
      </c>
      <c r="E29" s="32">
        <v>0</v>
      </c>
      <c r="F29" s="32">
        <v>0</v>
      </c>
      <c r="G29" s="32">
        <v>203.28</v>
      </c>
      <c r="H29" s="32">
        <v>198.81599999999997</v>
      </c>
      <c r="I29" s="32">
        <v>100.65</v>
      </c>
      <c r="J29" s="32">
        <v>136.79999999999998</v>
      </c>
      <c r="K29" s="32">
        <v>83.200000000000017</v>
      </c>
      <c r="L29" s="32">
        <v>180.8</v>
      </c>
      <c r="M29" s="32">
        <v>139.19999999999999</v>
      </c>
      <c r="N29" s="32">
        <v>226.8</v>
      </c>
      <c r="O29" s="32">
        <v>0</v>
      </c>
      <c r="P29" s="7"/>
      <c r="Q29" s="1"/>
      <c r="R29" s="1"/>
      <c r="S29" s="1"/>
      <c r="T29" s="1"/>
    </row>
    <row r="30" spans="1:20" ht="15.75">
      <c r="A30" s="50" t="s">
        <v>35</v>
      </c>
      <c r="B30" s="36"/>
      <c r="C30" s="37"/>
      <c r="D30" s="32">
        <v>0</v>
      </c>
      <c r="E30" s="32">
        <v>12.96</v>
      </c>
      <c r="F30" s="32">
        <v>0</v>
      </c>
      <c r="G30" s="32">
        <v>0</v>
      </c>
      <c r="H30" s="32">
        <v>48</v>
      </c>
      <c r="I30" s="32">
        <v>49.47</v>
      </c>
      <c r="J30" s="32">
        <v>13.68</v>
      </c>
      <c r="K30" s="32">
        <v>25.9</v>
      </c>
      <c r="L30" s="32">
        <v>-120</v>
      </c>
      <c r="M30" s="32">
        <v>190.12</v>
      </c>
      <c r="N30" s="32">
        <v>57.800000000000004</v>
      </c>
      <c r="O30" s="32">
        <v>0</v>
      </c>
      <c r="P30" s="7"/>
      <c r="Q30" s="1"/>
      <c r="R30" s="1"/>
      <c r="S30" s="1"/>
      <c r="T30" s="1"/>
    </row>
    <row r="31" spans="1:20" ht="15.75">
      <c r="A31" s="50" t="s">
        <v>36</v>
      </c>
      <c r="B31" s="36"/>
      <c r="C31" s="37"/>
      <c r="D31" s="32">
        <v>0</v>
      </c>
      <c r="E31" s="32">
        <v>13.44</v>
      </c>
      <c r="F31" s="32">
        <v>0</v>
      </c>
      <c r="G31" s="32">
        <v>0</v>
      </c>
      <c r="H31" s="32">
        <v>421.92</v>
      </c>
      <c r="I31" s="32">
        <v>0</v>
      </c>
      <c r="J31" s="32">
        <v>132.63</v>
      </c>
      <c r="K31" s="32">
        <v>0</v>
      </c>
      <c r="L31" s="32">
        <v>0</v>
      </c>
      <c r="M31" s="32">
        <v>0</v>
      </c>
      <c r="N31" s="32">
        <v>56.82</v>
      </c>
      <c r="O31" s="32">
        <v>0</v>
      </c>
      <c r="P31" s="7"/>
      <c r="Q31" s="1"/>
      <c r="R31" s="1"/>
      <c r="S31" s="1"/>
      <c r="T31" s="1"/>
    </row>
    <row r="32" spans="1:20" ht="15.75">
      <c r="A32" s="50" t="s">
        <v>34</v>
      </c>
      <c r="B32" s="36"/>
      <c r="C32" s="37"/>
      <c r="D32" s="32">
        <v>474.24</v>
      </c>
      <c r="E32" s="32">
        <v>247.34</v>
      </c>
      <c r="F32" s="32">
        <v>54.76</v>
      </c>
      <c r="G32" s="32">
        <v>178.17</v>
      </c>
      <c r="H32" s="32">
        <v>0</v>
      </c>
      <c r="I32" s="32">
        <v>0</v>
      </c>
      <c r="J32" s="32">
        <v>227.06</v>
      </c>
      <c r="K32" s="32">
        <v>177.77</v>
      </c>
      <c r="L32" s="32">
        <v>332.75</v>
      </c>
      <c r="M32" s="32">
        <v>377.21</v>
      </c>
      <c r="N32" s="32">
        <v>427.46</v>
      </c>
      <c r="O32" s="32">
        <v>0</v>
      </c>
      <c r="P32" s="7"/>
      <c r="Q32" s="1"/>
      <c r="R32" s="1"/>
      <c r="S32" s="1"/>
      <c r="T32" s="1"/>
    </row>
    <row r="33" spans="1:20" ht="15.75">
      <c r="A33" s="51" t="s">
        <v>61</v>
      </c>
      <c r="B33" s="38"/>
      <c r="C33" s="39"/>
      <c r="D33" s="33">
        <v>2401.0526395939087</v>
      </c>
      <c r="E33" s="33">
        <v>1557.8631725888324</v>
      </c>
      <c r="F33" s="33">
        <v>1438.2769796954315</v>
      </c>
      <c r="G33" s="33">
        <v>2623.2958375634516</v>
      </c>
      <c r="H33" s="33">
        <v>2575.012370558376</v>
      </c>
      <c r="I33" s="33">
        <v>2749.4249999999997</v>
      </c>
      <c r="J33" s="33">
        <v>2807.7350000000001</v>
      </c>
      <c r="K33" s="33">
        <v>1472.3450000000003</v>
      </c>
      <c r="L33" s="33">
        <v>2339.7550000000006</v>
      </c>
      <c r="M33" s="33">
        <v>3063.6</v>
      </c>
      <c r="N33" s="32">
        <v>3333.804000000001</v>
      </c>
      <c r="O33" s="32">
        <v>0</v>
      </c>
      <c r="Q33" s="113">
        <v>26362.165000000001</v>
      </c>
      <c r="R33" s="1" t="s">
        <v>66</v>
      </c>
      <c r="S33" s="1"/>
      <c r="T33" s="1"/>
    </row>
    <row r="34" spans="1:20">
      <c r="A34" s="1"/>
      <c r="B34" s="1"/>
      <c r="C34" s="1" t="s">
        <v>63</v>
      </c>
      <c r="D34" s="1">
        <v>154</v>
      </c>
      <c r="E34" s="1">
        <v>217</v>
      </c>
      <c r="F34" s="1">
        <v>229</v>
      </c>
      <c r="G34" s="1">
        <v>225</v>
      </c>
      <c r="H34" s="1">
        <v>251</v>
      </c>
      <c r="I34" s="1">
        <v>241</v>
      </c>
      <c r="J34" s="1">
        <v>303</v>
      </c>
      <c r="K34" s="1">
        <v>173</v>
      </c>
      <c r="L34" s="1">
        <v>253</v>
      </c>
      <c r="M34" s="1">
        <v>324</v>
      </c>
      <c r="N34" s="1">
        <v>284</v>
      </c>
      <c r="O34" s="1">
        <v>0</v>
      </c>
      <c r="Q34" s="1">
        <v>2654</v>
      </c>
      <c r="R34" s="1" t="s">
        <v>67</v>
      </c>
      <c r="S34" s="1"/>
      <c r="T34" s="1"/>
    </row>
    <row r="35" spans="1:20">
      <c r="A35" s="1"/>
      <c r="B35" s="1"/>
      <c r="C35" s="1" t="s">
        <v>69</v>
      </c>
      <c r="D35" s="82">
        <v>15.591250906453952</v>
      </c>
      <c r="E35" s="82">
        <v>7.179092961238859</v>
      </c>
      <c r="F35" s="82">
        <v>6.2806855008534122</v>
      </c>
      <c r="G35" s="82">
        <v>11.659092611393119</v>
      </c>
      <c r="H35" s="82">
        <v>10.259013428519426</v>
      </c>
      <c r="I35" s="82">
        <v>11.408402489626555</v>
      </c>
      <c r="J35" s="82">
        <v>9.2664521452145223</v>
      </c>
      <c r="K35" s="82">
        <v>8.510664739884394</v>
      </c>
      <c r="L35" s="82">
        <v>9.2480434782608718</v>
      </c>
      <c r="M35" s="82">
        <v>9.4555555555555557</v>
      </c>
      <c r="N35" s="82">
        <v>11.738746478873242</v>
      </c>
      <c r="O35" s="82" t="e">
        <v>#DIV/0!</v>
      </c>
      <c r="Q35" s="82">
        <v>9.9329935945742278</v>
      </c>
      <c r="R35" s="1" t="s">
        <v>68</v>
      </c>
      <c r="S35" s="1"/>
      <c r="T35" s="1"/>
    </row>
  </sheetData>
  <printOptions horizontalCentered="1" verticalCentered="1"/>
  <pageMargins left="0" right="0" top="0" bottom="0" header="0" footer="0"/>
  <pageSetup paperSize="9" scale="8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2</vt:i4>
      </vt:variant>
    </vt:vector>
  </HeadingPairs>
  <TitlesOfParts>
    <vt:vector size="5" baseType="lpstr">
      <vt:lpstr>Scar. giacenza.</vt:lpstr>
      <vt:lpstr>Tabella da stamp.</vt:lpstr>
      <vt:lpstr>Foglio3</vt:lpstr>
      <vt:lpstr>'Scar. giacenza.'!Area_stampa</vt:lpstr>
      <vt:lpstr>'Tabella da stamp.'!Area_stampa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2015-11-24T08:21:38Z</cp:lastPrinted>
  <dcterms:created xsi:type="dcterms:W3CDTF">2014-04-30T16:08:06Z</dcterms:created>
  <dcterms:modified xsi:type="dcterms:W3CDTF">2016-01-04T17:59:27Z</dcterms:modified>
</cp:coreProperties>
</file>