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1-2022" sheetId="4" r:id="rId3"/>
  </sheets>
  <definedNames>
    <definedName name="_xlnm.Print_Area" localSheetId="2">'Giacenza 2021-2022'!$A$1:$P$38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4"/>
  <c r="B18"/>
  <c r="CM96" i="1"/>
  <c r="CL95"/>
  <c r="CM86"/>
  <c r="CM87"/>
  <c r="CM89"/>
  <c r="CM91"/>
  <c r="CO73"/>
  <c r="CM92"/>
  <c r="CJ73"/>
  <c r="CM73"/>
  <c r="CL92"/>
  <c r="BF72"/>
  <c r="BF64"/>
  <c r="BF63"/>
  <c r="BF61"/>
  <c r="BF57"/>
  <c r="BF54"/>
  <c r="BF52"/>
  <c r="BF49"/>
  <c r="BF46"/>
  <c r="BF45"/>
  <c r="CM104"/>
  <c r="CM88"/>
  <c r="CM82"/>
  <c r="CE88" l="1"/>
  <c r="CE87"/>
  <c r="CE89"/>
  <c r="BA72"/>
  <c r="BA66"/>
  <c r="BA64"/>
  <c r="BA63"/>
  <c r="BA57"/>
  <c r="BA54"/>
  <c r="BA45"/>
  <c r="CE104" l="1"/>
  <c r="CE82"/>
  <c r="AV69"/>
  <c r="AV66"/>
  <c r="AV64"/>
  <c r="AV54"/>
  <c r="AV47"/>
  <c r="AV45"/>
  <c r="BW99"/>
  <c r="BW104"/>
  <c r="AQ69"/>
  <c r="AQ66"/>
  <c r="AQ63"/>
  <c r="AQ45"/>
  <c r="AQ44"/>
  <c r="BO99" l="1"/>
  <c r="BO80"/>
  <c r="BO83"/>
  <c r="BO82"/>
  <c r="AL66" l="1"/>
  <c r="AL64"/>
  <c r="AL46"/>
  <c r="AL45"/>
  <c r="AN69"/>
  <c r="BG82"/>
  <c r="AG69" l="1"/>
  <c r="AG66"/>
  <c r="AG64"/>
  <c r="AG46"/>
  <c r="AG45"/>
  <c r="AI69"/>
  <c r="AI72"/>
  <c r="AY98"/>
  <c r="AB72" l="1"/>
  <c r="AB69"/>
  <c r="AB65"/>
  <c r="AB64"/>
  <c r="AB63"/>
  <c r="AD72"/>
  <c r="W72"/>
  <c r="W69"/>
  <c r="W64"/>
  <c r="W63"/>
  <c r="W45"/>
  <c r="Y69"/>
  <c r="Y72"/>
  <c r="AI99"/>
  <c r="AI92"/>
  <c r="AA92"/>
  <c r="R72"/>
  <c r="R70"/>
  <c r="R69"/>
  <c r="R64"/>
  <c r="R63"/>
  <c r="R46"/>
  <c r="R45"/>
  <c r="R44"/>
  <c r="T70"/>
  <c r="AD96"/>
  <c r="AD97"/>
  <c r="AD98"/>
  <c r="AD99"/>
  <c r="AD100"/>
  <c r="AL98"/>
  <c r="AL99"/>
  <c r="AL100"/>
  <c r="AA99"/>
  <c r="AA88"/>
  <c r="AL103"/>
  <c r="AL102"/>
  <c r="AK103"/>
  <c r="AK102"/>
  <c r="AE102"/>
  <c r="AC99"/>
  <c r="AC100"/>
  <c r="AC101"/>
  <c r="AC102"/>
  <c r="AC103"/>
  <c r="AE103" s="1"/>
  <c r="AC104"/>
  <c r="AC105"/>
  <c r="AC106"/>
  <c r="AD103"/>
  <c r="AD102"/>
  <c r="S87"/>
  <c r="S88"/>
  <c r="X86"/>
  <c r="X90"/>
  <c r="S92"/>
  <c r="S91"/>
  <c r="AM103" l="1"/>
  <c r="AM102"/>
  <c r="M72"/>
  <c r="M70"/>
  <c r="M69"/>
  <c r="M64"/>
  <c r="M54"/>
  <c r="M52"/>
  <c r="M46"/>
  <c r="O70"/>
  <c r="O68"/>
  <c r="S99"/>
  <c r="S94"/>
  <c r="W102"/>
  <c r="U102"/>
  <c r="V102"/>
  <c r="U103"/>
  <c r="V103"/>
  <c r="W103" s="1"/>
  <c r="J70"/>
  <c r="K95"/>
  <c r="K99"/>
  <c r="K91"/>
  <c r="K82"/>
  <c r="K89"/>
  <c r="H53"/>
  <c r="H66"/>
  <c r="H64"/>
  <c r="H57"/>
  <c r="H52"/>
  <c r="H46"/>
  <c r="K47"/>
  <c r="K48"/>
  <c r="K66"/>
  <c r="K67"/>
  <c r="K68"/>
  <c r="K69"/>
  <c r="K70"/>
  <c r="K71"/>
  <c r="K72"/>
  <c r="K73"/>
  <c r="B78"/>
  <c r="C92"/>
  <c r="C52"/>
  <c r="C63"/>
  <c r="C66"/>
  <c r="C64"/>
  <c r="C54"/>
  <c r="C53"/>
  <c r="C46"/>
  <c r="C45"/>
  <c r="C44"/>
  <c r="D45"/>
  <c r="C82"/>
  <c r="N102"/>
  <c r="N103"/>
  <c r="N104"/>
  <c r="M103"/>
  <c r="O103" s="1"/>
  <c r="M102"/>
  <c r="O102" s="1"/>
  <c r="F102"/>
  <c r="F103"/>
  <c r="E102"/>
  <c r="E103"/>
  <c r="C99"/>
  <c r="C78"/>
  <c r="C89"/>
  <c r="C94"/>
  <c r="C85"/>
  <c r="G102" l="1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G105" s="1"/>
  <c r="E72" s="1"/>
  <c r="E106"/>
  <c r="G104" l="1"/>
  <c r="O105"/>
  <c r="AM105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AE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W106"/>
  <c r="O69" s="1"/>
  <c r="O106"/>
  <c r="J69" s="1"/>
  <c r="G106"/>
  <c r="E69" s="1"/>
  <c r="BK106"/>
  <c r="BC106"/>
  <c r="AM106"/>
  <c r="Z72" s="1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CI84"/>
  <c r="CI85"/>
  <c r="CI86"/>
  <c r="CA80"/>
  <c r="AX44" s="1"/>
  <c r="CA81"/>
  <c r="CA82"/>
  <c r="AX46" s="1"/>
  <c r="CA83"/>
  <c r="CA84"/>
  <c r="AX48" s="1"/>
  <c r="CA85"/>
  <c r="AX49" s="1"/>
  <c r="CA86"/>
  <c r="CA88"/>
  <c r="CA90"/>
  <c r="CA91"/>
  <c r="CA93"/>
  <c r="CA94"/>
  <c r="CA95"/>
  <c r="AX59" s="1"/>
  <c r="CA96"/>
  <c r="CI81"/>
  <c r="BC45" s="1"/>
  <c r="CA87"/>
  <c r="BS83"/>
  <c r="AS47" s="1"/>
  <c r="BS87"/>
  <c r="AS51" s="1"/>
  <c r="BS81"/>
  <c r="AS45" s="1"/>
  <c r="BS80"/>
  <c r="AS44" s="1"/>
  <c r="AY59"/>
  <c r="M19" s="1"/>
  <c r="AY49"/>
  <c r="M9" s="1"/>
  <c r="AY48"/>
  <c r="M8" s="1"/>
  <c r="CI87"/>
  <c r="BC51" s="1"/>
  <c r="CI88"/>
  <c r="BC52" s="1"/>
  <c r="CA104"/>
  <c r="CA10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BD47"/>
  <c r="N7" s="1"/>
  <c r="U69"/>
  <c r="G29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V92" l="1"/>
  <c r="AE104"/>
  <c r="T66" s="1"/>
  <c r="U66" s="1"/>
  <c r="G26" s="1"/>
  <c r="BH61"/>
  <c r="BI61" s="1"/>
  <c r="O21" s="1"/>
  <c r="BH45"/>
  <c r="BI45" s="1"/>
  <c r="O5" s="1"/>
  <c r="AX54"/>
  <c r="AY54" s="1"/>
  <c r="M14" s="1"/>
  <c r="AS66"/>
  <c r="AT66" s="1"/>
  <c r="L26" s="1"/>
  <c r="AX45"/>
  <c r="AY45" s="1"/>
  <c r="M5" s="1"/>
  <c r="AX51"/>
  <c r="AY51" s="1"/>
  <c r="M11" s="1"/>
  <c r="AX52"/>
  <c r="AY52" s="1"/>
  <c r="M12" s="1"/>
  <c r="BC50"/>
  <c r="BD50" s="1"/>
  <c r="N10" s="1"/>
  <c r="AX66"/>
  <c r="AY66" s="1"/>
  <c r="M26" s="1"/>
  <c r="BC66"/>
  <c r="BD66" s="1"/>
  <c r="N26" s="1"/>
  <c r="AX50"/>
  <c r="AY50" s="1"/>
  <c r="M10" s="1"/>
  <c r="BC49"/>
  <c r="BD49" s="1"/>
  <c r="N9" s="1"/>
  <c r="AX55"/>
  <c r="AY55" s="1"/>
  <c r="M15" s="1"/>
  <c r="BH66"/>
  <c r="BI66" s="1"/>
  <c r="O26" s="1"/>
  <c r="BH50"/>
  <c r="BI50" s="1"/>
  <c r="O10" s="1"/>
  <c r="BC65"/>
  <c r="BD65" s="1"/>
  <c r="N25" s="1"/>
  <c r="AX60"/>
  <c r="AY60" s="1"/>
  <c r="M20" s="1"/>
  <c r="BC48"/>
  <c r="BD48" s="1"/>
  <c r="N8" s="1"/>
  <c r="BH49"/>
  <c r="BI49" s="1"/>
  <c r="O9" s="1"/>
  <c r="BH48"/>
  <c r="BI48" s="1"/>
  <c r="O8" s="1"/>
  <c r="AX58"/>
  <c r="AY58" s="1"/>
  <c r="M18" s="1"/>
  <c r="AX47"/>
  <c r="CI107"/>
  <c r="BC44"/>
  <c r="AS65"/>
  <c r="AT65" s="1"/>
  <c r="AX65"/>
  <c r="AY65" s="1"/>
  <c r="M25" s="1"/>
  <c r="AX57"/>
  <c r="AY57" s="1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S10" s="1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BC104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X92" s="1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X94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AT59"/>
  <c r="L19" s="1"/>
  <c r="AN59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I66"/>
  <c r="AJ66" s="1"/>
  <c r="J26" s="1"/>
  <c r="AI65"/>
  <c r="AJ65" s="1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Y74"/>
  <c r="AT44"/>
  <c r="Z44"/>
  <c r="U46"/>
  <c r="P51"/>
  <c r="P57"/>
  <c r="P47"/>
  <c r="O83"/>
  <c r="J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59"/>
  <c r="K19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M34" l="1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<sst xmlns="http://schemas.openxmlformats.org/spreadsheetml/2006/main" count="905" uniqueCount="117">
  <si>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</si>
  <si>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</si>
  <si>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</si>
  <si>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</si>
  <si>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</si>
  <si>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</si>
  <si>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</si>
  <si>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</si>
  <si>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</si>
  <si>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</si>
  <si>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</si>
  <si>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</si>
  <si>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</si>
  <si>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</si>
  <si>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</si>
  <si>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</si>
  <si>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</si>
  <si>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</si>
  <si>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</si>
  <si>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</si>
  <si>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</si>
  <si>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</si>
  <si>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</si>
  <si>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</si>
  <si>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</si>
  <si>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</si>
  <si>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</si>
  <si>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</si>
  <si>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</si>
  <si>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</si>
  <si>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</si>
  <si>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</si>
  <si>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</si>
  <si>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</si>
  <si>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</si>
  <si>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</si>
  <si>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</si>
  <si>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</si>
  <si>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</si>
  <si>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</si>
  <si>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</si>
  <si>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</si>
  <si>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</si>
  <si>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</si>
  <si>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</si>
  <si>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</si>
  <si>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</si>
  <si>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</si>
  <si>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</si>
  <si>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</si>
  <si>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</si>
  <si>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</si>
  <si>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</si>
  <si>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</si>
  <si>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</si>
  <si>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</si>
  <si>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</si>
  <si>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</si>
  <si>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</si>
  <si>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</si>
  <si>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</si>
  <si>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</si>
  <si>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</si>
  <si>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</si>
  <si>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</si>
  <si>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</si>
  <si>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</si>
  <si>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</si>
  <si>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</si>
  <si>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</si>
  <si>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</si>
  <si>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</si>
  <si>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</si>
  <si>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</si>
  <si>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</si>
  <si>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</si>
  <si>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</si>
  <si>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</si>
  <si>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</si>
  <si>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</si>
  <si>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</si>
  <si>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</si>
  <si>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</si>
  <si>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</si>
  <si>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</si>
  <si>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</si>
  <si>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</si>
  <si>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</si>
  <si>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</si>
  <si>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</si>
  <si>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</si>
  <si>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</si>
  <si>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</si>
  <si>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</si>
  <si>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</si>
  <si>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</si>
  <si>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</si>
  <si>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</si>
  <si>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</si>
  <si>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</si>
  <si>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</si>
  <si>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</si>
  <si>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GIACENZA 2021</t>
  </si>
  <si>
    <t>MACEDONIA DI FRUTTA o FRUTTA</t>
  </si>
  <si>
    <t>giacenza 2021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</si>
  <si>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2021</t>
    </r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</si>
  <si>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</si>
  <si>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</si>
  <si>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</si>
  <si>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</si>
  <si>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</si>
  <si>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</si>
  <si>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</si>
  <si>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</si>
  <si>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giac. 31 dic 2022</t>
  </si>
  <si>
    <t>diff.  Giacenza DIC. 2022 -2021</t>
  </si>
  <si>
    <t>Giac. Media DIC. 2020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</si>
</sst>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75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164" fontId="0" fillId="0" borderId="5" xfId="0" applyNumberFormat="1" applyFont="1" applyFill="1" applyBorder="1" applyAlignment="1">
      <alignment horizontal="center"/>
    </xf>
    <xf numFmtId="2" fontId="4" fillId="0" borderId="53" xfId="0" applyNumberFormat="1" applyFont="1" applyBorder="1"/>
    <xf numFmtId="2" fontId="5" fillId="0" borderId="3" xfId="0" applyNumberFormat="1" applyFont="1" applyFill="1" applyBorder="1"/>
    <xf numFmtId="2" fontId="6" fillId="0" borderId="5" xfId="0" applyNumberFormat="1" applyFont="1" applyFill="1" applyBorder="1" applyAlignment="1">
      <alignment horizontal="right"/>
    </xf>
    <xf numFmtId="2" fontId="6" fillId="0" borderId="50" xfId="0" applyNumberFormat="1" applyFont="1" applyFill="1" applyBorder="1" applyAlignment="1">
      <alignment horizontal="right"/>
    </xf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Font="1" applyBorder="1"/>
    <xf numFmtId="2" fontId="5" fillId="0" borderId="3" xfId="0" applyNumberFormat="1" applyFont="1" applyBorder="1"/>
    <xf numFmtId="0" fontId="0" fillId="5" borderId="42" xfId="0" applyFill="1" applyBorder="1" applyAlignment="1">
      <alignment horizontal="left"/>
    </xf>
    <xf numFmtId="0" fontId="0" fillId="3" borderId="5" xfId="0" applyFont="1" applyFill="1" applyBorder="1" applyAlignment="1">
      <alignment horizontal="center"/>
    </xf>
    <xf numFmtId="0" fontId="0" fillId="9" borderId="5" xfId="0" applyFont="1" applyFill="1" applyBorder="1" applyAlignment="1">
      <alignment horizontal="center"/>
    </xf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2021-2022'!$B$3</c:f>
              <c:strCache>
                <c:ptCount val="1"/>
                <c:pt idx="0">
                  <c:v>GIACENZA 2021</c:v>
                </c:pt>
              </c:strCache>
            </c:strRef>
          </c:tx>
          <c:marker>
            <c:symbol val="none"/>
          </c:marker>
          <c:cat>
            <c:strRef>
              <c:f>'Giacenza 2021-2022'!$A$4:$A$15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2021-2022'!$B$4:$B$15</c:f>
              <c:numCache>
                <c:formatCode>0</c:formatCode>
                <c:ptCount val="12"/>
                <c:pt idx="0">
                  <c:v>3322.7699999999995</c:v>
                </c:pt>
                <c:pt idx="1">
                  <c:v>2878.56</c:v>
                </c:pt>
                <c:pt idx="2">
                  <c:v>2821.2270304568528</c:v>
                </c:pt>
                <c:pt idx="3">
                  <c:v>1609.28</c:v>
                </c:pt>
                <c:pt idx="4">
                  <c:v>1397.6400000000003</c:v>
                </c:pt>
                <c:pt idx="5">
                  <c:v>1953.66</c:v>
                </c:pt>
                <c:pt idx="6">
                  <c:v>2292.2800000000007</c:v>
                </c:pt>
                <c:pt idx="7">
                  <c:v>1513.6999999999998</c:v>
                </c:pt>
                <c:pt idx="8">
                  <c:v>1815.54</c:v>
                </c:pt>
                <c:pt idx="9">
                  <c:v>1710.54</c:v>
                </c:pt>
                <c:pt idx="10">
                  <c:v>2123.7900000000004</c:v>
                </c:pt>
                <c:pt idx="11">
                  <c:v>2068.9900000000002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109233664"/>
        <c:axId val="109235200"/>
      </c:lineChart>
      <c:catAx>
        <c:axId val="10923366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109235200"/>
        <c:crosses val="autoZero"/>
        <c:auto val="1"/>
        <c:lblAlgn val="ctr"/>
        <c:lblOffset val="100"/>
      </c:catAx>
      <c:valAx>
        <c:axId val="109235200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109233664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886"/>
          <c:y val="2.4242424242424229E-2"/>
          <c:w val="0.33007530600731233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971"/>
        </c:manualLayout>
      </c:layout>
      <c:lineChart>
        <c:grouping val="standard"/>
        <c:ser>
          <c:idx val="0"/>
          <c:order val="0"/>
          <c:tx>
            <c:strRef>
              <c:f>'Giacenza 2021-2022'!$B$22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2021-2022'!$A$23:$A$34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2021-2022'!$B$23:$B$34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109243392"/>
        <c:axId val="92295936"/>
      </c:lineChart>
      <c:catAx>
        <c:axId val="10924339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92295936"/>
        <c:crosses val="autoZero"/>
        <c:auto val="1"/>
        <c:lblAlgn val="ctr"/>
        <c:lblOffset val="100"/>
      </c:catAx>
      <c:valAx>
        <c:axId val="92295936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109243392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353"/>
          <c:y val="8.771929824561403E-3"/>
          <c:w val="0.33084831609163889"/>
          <c:h val="7.9311023622048143E-2"/>
        </c:manualLayout>
      </c:layout>
    </c:legend>
    <c:plotVisOnly val="1"/>
    <c:dispBlanksAs val="gap"/>
  </c:chart>
  <c:printSettings>
    <c:headerFooter/>
    <c:pageMargins b="0.74803149606302077" l="0.70866141732285592" r="0.70866141732285592" t="0.74803149606302077" header="0.31496062992127605" footer="0.3149606299212760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3"/>
  <sheetViews>
    <sheetView tabSelected="1" zoomScale="75" zoomScaleNormal="75" workbookViewId="0">
      <pane xSplit="1" topLeftCell="L1" activePane="topRight" state="frozenSplit"/>
      <selection activeCell="A40" sqref="A40"/>
      <selection pane="topRight" activeCell="Q1" sqref="Q1:T10"/>
    </sheetView>
  </sheetViews>
  <sheetFormatPr defaultRowHeight="15"/>
  <cols>
    <col min="1" max="1" width="33.85546875" bestFit="1" customWidth="1"/>
    <col min="2" max="2" width="11" bestFit="1" customWidth="1"/>
    <col min="3" max="3" width="11.7109375" style="1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44926</v>
      </c>
      <c r="S1" s="92"/>
      <c r="T1" s="93"/>
    </row>
    <row r="2" spans="1:52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104</v>
      </c>
      <c r="R2" s="100">
        <v>2068.9900000000002</v>
      </c>
      <c r="S2" s="100"/>
      <c r="T2" s="101"/>
      <c r="AZ2" s="89"/>
    </row>
    <row r="3" spans="1:52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85</v>
      </c>
      <c r="R3" s="100">
        <v>26928.73</v>
      </c>
      <c r="S3" s="100"/>
      <c r="T3" s="101"/>
      <c r="W3" s="1"/>
    </row>
    <row r="4" spans="1:52">
      <c r="A4" s="48" t="s">
        <v>6</v>
      </c>
      <c r="B4" s="33"/>
      <c r="C4" s="34"/>
      <c r="D4" s="30">
        <f t="shared" ref="D4:D5" si="0">F44</f>
        <v>181.39999999999998</v>
      </c>
      <c r="E4" s="30">
        <f t="shared" ref="E4:E5" si="1">K44</f>
        <v>96.12</v>
      </c>
      <c r="F4" s="30">
        <f t="shared" ref="F4:F5" si="2">P44</f>
        <v>130.74</v>
      </c>
      <c r="G4" s="30">
        <f>U44</f>
        <v>133.99999999999997</v>
      </c>
      <c r="H4" s="30">
        <f>Z44</f>
        <v>198.1</v>
      </c>
      <c r="I4" s="30">
        <f>AE44</f>
        <v>221.90000000000003</v>
      </c>
      <c r="J4" s="30">
        <f>AJ44</f>
        <v>127.4</v>
      </c>
      <c r="K4" s="30">
        <f>AO44</f>
        <v>173.6</v>
      </c>
      <c r="L4" s="30">
        <f>AT44</f>
        <v>180</v>
      </c>
      <c r="M4" s="30">
        <f>AY44</f>
        <v>235.2</v>
      </c>
      <c r="N4" s="30">
        <f>BD44</f>
        <v>90.999999999999986</v>
      </c>
      <c r="O4" s="30">
        <f>BI44</f>
        <v>77.38</v>
      </c>
      <c r="Q4" s="95" t="s">
        <v>86</v>
      </c>
      <c r="R4" s="100">
        <v>13594.356000000002</v>
      </c>
      <c r="S4" s="100"/>
      <c r="T4" s="101"/>
      <c r="W4" s="1"/>
      <c r="X4" s="1"/>
    </row>
    <row r="5" spans="1:52" ht="15.75">
      <c r="A5" s="49" t="s">
        <v>48</v>
      </c>
      <c r="B5" s="35"/>
      <c r="C5" s="36"/>
      <c r="D5" s="31">
        <f t="shared" si="0"/>
        <v>485.44000000000005</v>
      </c>
      <c r="E5" s="31">
        <f t="shared" si="1"/>
        <v>464</v>
      </c>
      <c r="F5" s="31">
        <f t="shared" si="2"/>
        <v>687</v>
      </c>
      <c r="G5" s="31">
        <f>U45</f>
        <v>601</v>
      </c>
      <c r="H5" s="31">
        <f>Z45</f>
        <v>609.95000000000005</v>
      </c>
      <c r="I5" s="31">
        <f>AE45</f>
        <v>654</v>
      </c>
      <c r="J5" s="31">
        <f>AJ45</f>
        <v>339</v>
      </c>
      <c r="K5" s="31">
        <f>AO45</f>
        <v>260.7</v>
      </c>
      <c r="L5" s="31">
        <f>AT45</f>
        <v>338.44</v>
      </c>
      <c r="M5" s="31">
        <f>AY45</f>
        <v>384.13</v>
      </c>
      <c r="N5" s="31">
        <f>BD45</f>
        <v>325.52999999999997</v>
      </c>
      <c r="O5" s="31">
        <f>BI45</f>
        <v>467.32999999999993</v>
      </c>
      <c r="P5" s="8"/>
      <c r="Q5" s="95" t="s">
        <v>87</v>
      </c>
      <c r="R5" s="100">
        <v>5153.4400000000005</v>
      </c>
      <c r="S5" s="100"/>
      <c r="T5" s="101"/>
    </row>
    <row r="6" spans="1:52" ht="15.75">
      <c r="A6" s="49" t="s">
        <v>8</v>
      </c>
      <c r="B6" s="35"/>
      <c r="C6" s="36"/>
      <c r="D6" s="31">
        <f t="shared" ref="D6:D33" si="3">F46</f>
        <v>356.29999999999995</v>
      </c>
      <c r="E6" s="31">
        <f t="shared" ref="E6:E33" si="4">K46</f>
        <v>390.85</v>
      </c>
      <c r="F6" s="31">
        <f t="shared" ref="F6:F33" si="5">P46</f>
        <v>320.49</v>
      </c>
      <c r="G6" s="31">
        <f t="shared" ref="G6:G33" si="6">U46</f>
        <v>333.24</v>
      </c>
      <c r="H6" s="31">
        <f t="shared" ref="H6:H32" si="7">Z46</f>
        <v>315</v>
      </c>
      <c r="I6" s="31">
        <f t="shared" ref="I6:I32" si="8">AE46</f>
        <v>404.5</v>
      </c>
      <c r="J6" s="31">
        <f t="shared" ref="J6:J32" si="9">AJ46</f>
        <v>531</v>
      </c>
      <c r="K6" s="31">
        <f t="shared" ref="K6:K32" si="10">AO46</f>
        <v>215.53999999999996</v>
      </c>
      <c r="L6" s="31">
        <f t="shared" ref="L6:L32" si="11">AT46</f>
        <v>234</v>
      </c>
      <c r="M6" s="31">
        <f t="shared" ref="M6:M32" si="12">AY46</f>
        <v>278</v>
      </c>
      <c r="N6" s="31">
        <f t="shared" ref="N6:N32" si="13">BD46</f>
        <v>241.5</v>
      </c>
      <c r="O6" s="31">
        <f t="shared" ref="O6:O32" si="14">BI46</f>
        <v>565.12</v>
      </c>
      <c r="P6" s="7"/>
      <c r="Q6" s="95" t="s">
        <v>88</v>
      </c>
      <c r="R6" s="100">
        <f>SUM(R2:R5)</f>
        <v>47745.516000000003</v>
      </c>
      <c r="S6" s="100"/>
      <c r="T6" s="101"/>
    </row>
    <row r="7" spans="1:52" ht="15.75">
      <c r="A7" s="49" t="s">
        <v>9</v>
      </c>
      <c r="B7" s="35"/>
      <c r="C7" s="36"/>
      <c r="D7" s="31">
        <f t="shared" si="3"/>
        <v>241.28</v>
      </c>
      <c r="E7" s="31">
        <f t="shared" si="4"/>
        <v>0</v>
      </c>
      <c r="F7" s="31">
        <f t="shared" si="5"/>
        <v>0</v>
      </c>
      <c r="G7" s="31">
        <f t="shared" si="6"/>
        <v>157.74</v>
      </c>
      <c r="H7" s="31">
        <f t="shared" si="7"/>
        <v>140.39999999999998</v>
      </c>
      <c r="I7" s="31">
        <f t="shared" si="8"/>
        <v>45.44</v>
      </c>
      <c r="J7" s="31">
        <f t="shared" si="9"/>
        <v>41.010000000000005</v>
      </c>
      <c r="K7" s="31">
        <f t="shared" si="10"/>
        <v>0</v>
      </c>
      <c r="L7" s="31">
        <f t="shared" si="11"/>
        <v>73.83</v>
      </c>
      <c r="M7" s="31">
        <f t="shared" si="12"/>
        <v>134.32</v>
      </c>
      <c r="N7" s="31">
        <f t="shared" si="13"/>
        <v>5</v>
      </c>
      <c r="O7" s="31">
        <f t="shared" si="14"/>
        <v>0</v>
      </c>
      <c r="P7" s="7"/>
      <c r="Q7" s="95"/>
      <c r="R7" s="100"/>
      <c r="S7" s="100"/>
      <c r="T7" s="101"/>
    </row>
    <row r="8" spans="1:52" ht="15.75">
      <c r="A8" s="49" t="s">
        <v>112</v>
      </c>
      <c r="B8" s="35"/>
      <c r="C8" s="36"/>
      <c r="D8" s="31">
        <f t="shared" si="3"/>
        <v>11</v>
      </c>
      <c r="E8" s="31">
        <f t="shared" si="4"/>
        <v>48</v>
      </c>
      <c r="F8" s="31">
        <f t="shared" si="5"/>
        <v>0</v>
      </c>
      <c r="G8" s="31">
        <f t="shared" si="6"/>
        <v>0</v>
      </c>
      <c r="H8" s="31">
        <f t="shared" si="7"/>
        <v>0</v>
      </c>
      <c r="I8" s="31">
        <f t="shared" si="8"/>
        <v>9</v>
      </c>
      <c r="J8" s="31">
        <f t="shared" si="9"/>
        <v>0</v>
      </c>
      <c r="K8" s="31">
        <f t="shared" si="10"/>
        <v>52</v>
      </c>
      <c r="L8" s="31">
        <f t="shared" si="11"/>
        <v>15</v>
      </c>
      <c r="M8" s="31">
        <f t="shared" si="12"/>
        <v>0</v>
      </c>
      <c r="N8" s="31">
        <f t="shared" si="13"/>
        <v>0</v>
      </c>
      <c r="O8" s="31">
        <f t="shared" si="14"/>
        <v>32</v>
      </c>
      <c r="P8" s="7"/>
      <c r="Q8" s="95" t="s">
        <v>89</v>
      </c>
      <c r="R8" s="100">
        <f>P34</f>
        <v>45481.966000000008</v>
      </c>
      <c r="S8" s="100"/>
      <c r="T8" s="101"/>
    </row>
    <row r="9" spans="1:52" ht="15.75">
      <c r="A9" s="49" t="s">
        <v>11</v>
      </c>
      <c r="B9" s="35"/>
      <c r="C9" s="36"/>
      <c r="D9" s="31">
        <f t="shared" si="3"/>
        <v>203</v>
      </c>
      <c r="E9" s="31">
        <f t="shared" si="4"/>
        <v>312</v>
      </c>
      <c r="F9" s="31">
        <f t="shared" si="5"/>
        <v>130</v>
      </c>
      <c r="G9" s="31">
        <f t="shared" si="6"/>
        <v>352</v>
      </c>
      <c r="H9" s="31">
        <f t="shared" si="7"/>
        <v>223</v>
      </c>
      <c r="I9" s="31">
        <f t="shared" si="8"/>
        <v>207</v>
      </c>
      <c r="J9" s="31">
        <f t="shared" si="9"/>
        <v>174</v>
      </c>
      <c r="K9" s="31">
        <f t="shared" si="10"/>
        <v>199</v>
      </c>
      <c r="L9" s="31">
        <f t="shared" si="11"/>
        <v>252</v>
      </c>
      <c r="M9" s="31">
        <f t="shared" si="12"/>
        <v>233</v>
      </c>
      <c r="N9" s="31">
        <f t="shared" si="13"/>
        <v>178</v>
      </c>
      <c r="O9" s="31">
        <f t="shared" si="14"/>
        <v>140.20999999999998</v>
      </c>
      <c r="P9" s="7"/>
      <c r="Q9" s="95"/>
      <c r="R9" s="100"/>
      <c r="S9" s="100" t="s">
        <v>114</v>
      </c>
      <c r="T9" s="101" t="s">
        <v>90</v>
      </c>
    </row>
    <row r="10" spans="1:52" ht="15.75">
      <c r="A10" s="49" t="s">
        <v>12</v>
      </c>
      <c r="B10" s="35"/>
      <c r="C10" s="36"/>
      <c r="D10" s="31">
        <f t="shared" si="3"/>
        <v>81</v>
      </c>
      <c r="E10" s="31">
        <f t="shared" si="4"/>
        <v>9</v>
      </c>
      <c r="F10" s="31">
        <f t="shared" si="5"/>
        <v>84</v>
      </c>
      <c r="G10" s="31">
        <f t="shared" si="6"/>
        <v>12</v>
      </c>
      <c r="H10" s="31">
        <f t="shared" si="7"/>
        <v>207</v>
      </c>
      <c r="I10" s="31">
        <f t="shared" si="8"/>
        <v>160</v>
      </c>
      <c r="J10" s="31">
        <f t="shared" si="9"/>
        <v>133</v>
      </c>
      <c r="K10" s="31">
        <f t="shared" si="10"/>
        <v>203</v>
      </c>
      <c r="L10" s="31">
        <f t="shared" si="11"/>
        <v>128</v>
      </c>
      <c r="M10" s="31">
        <f t="shared" si="12"/>
        <v>222</v>
      </c>
      <c r="N10" s="31">
        <f t="shared" si="13"/>
        <v>75</v>
      </c>
      <c r="O10" s="31">
        <f t="shared" si="14"/>
        <v>4.4799999999999898</v>
      </c>
      <c r="P10" s="8"/>
      <c r="Q10" s="164" t="s">
        <v>113</v>
      </c>
      <c r="R10" s="102">
        <f>R6-R8</f>
        <v>2263.5499999999956</v>
      </c>
      <c r="S10" s="161">
        <f>CQ107</f>
        <v>2182.71</v>
      </c>
      <c r="T10" s="103">
        <f>S10-R10</f>
        <v>-80.839999999995598</v>
      </c>
      <c r="U10" s="1"/>
      <c r="V10" s="1"/>
    </row>
    <row r="11" spans="1:52" ht="15.75">
      <c r="A11" s="49" t="s">
        <v>13</v>
      </c>
      <c r="B11" s="35"/>
      <c r="C11" s="36"/>
      <c r="D11" s="31">
        <f t="shared" si="3"/>
        <v>18.099999999999994</v>
      </c>
      <c r="E11" s="31">
        <f t="shared" si="4"/>
        <v>147.95000000000002</v>
      </c>
      <c r="F11" s="31">
        <f t="shared" si="5"/>
        <v>6.8000000000000114</v>
      </c>
      <c r="G11" s="31">
        <f t="shared" si="6"/>
        <v>113.19999999999999</v>
      </c>
      <c r="H11" s="31">
        <f t="shared" si="7"/>
        <v>48.8</v>
      </c>
      <c r="I11" s="31">
        <f t="shared" si="8"/>
        <v>84.800000000000011</v>
      </c>
      <c r="J11" s="31">
        <f t="shared" si="9"/>
        <v>150</v>
      </c>
      <c r="K11" s="31">
        <f t="shared" si="10"/>
        <v>106</v>
      </c>
      <c r="L11" s="31">
        <f t="shared" si="11"/>
        <v>166.4</v>
      </c>
      <c r="M11" s="31">
        <f t="shared" si="12"/>
        <v>200.00000000000003</v>
      </c>
      <c r="N11" s="31">
        <f t="shared" si="13"/>
        <v>9.1999999999999886</v>
      </c>
      <c r="O11" s="31">
        <f t="shared" si="14"/>
        <v>40.399999999999977</v>
      </c>
      <c r="P11" s="7"/>
    </row>
    <row r="12" spans="1:52" ht="15.75">
      <c r="A12" s="49" t="s">
        <v>14</v>
      </c>
      <c r="B12" s="35"/>
      <c r="C12" s="36"/>
      <c r="D12" s="31">
        <f t="shared" si="3"/>
        <v>204.02000000000004</v>
      </c>
      <c r="E12" s="31">
        <f t="shared" si="4"/>
        <v>241.10000000000002</v>
      </c>
      <c r="F12" s="31">
        <f t="shared" si="5"/>
        <v>197.47000000000003</v>
      </c>
      <c r="G12" s="31">
        <f t="shared" si="6"/>
        <v>247.66000000000003</v>
      </c>
      <c r="H12" s="31">
        <f t="shared" si="7"/>
        <v>195.86</v>
      </c>
      <c r="I12" s="31">
        <f t="shared" si="8"/>
        <v>222.18</v>
      </c>
      <c r="J12" s="31">
        <f t="shared" si="9"/>
        <v>176.64</v>
      </c>
      <c r="K12" s="31">
        <f t="shared" si="10"/>
        <v>197.97999999999996</v>
      </c>
      <c r="L12" s="31">
        <f t="shared" si="11"/>
        <v>221.72000000000003</v>
      </c>
      <c r="M12" s="31">
        <f t="shared" si="12"/>
        <v>243.3</v>
      </c>
      <c r="N12" s="31">
        <f t="shared" si="13"/>
        <v>39.660000000000025</v>
      </c>
      <c r="O12" s="31">
        <f t="shared" si="14"/>
        <v>663.35000000000014</v>
      </c>
      <c r="P12" s="7"/>
    </row>
    <row r="13" spans="1:52" ht="15.75">
      <c r="A13" s="49" t="s">
        <v>15</v>
      </c>
      <c r="B13" s="35"/>
      <c r="C13" s="36"/>
      <c r="D13" s="31">
        <f t="shared" si="3"/>
        <v>127.95999999999998</v>
      </c>
      <c r="E13" s="31">
        <f t="shared" si="4"/>
        <v>448.3599999999999</v>
      </c>
      <c r="F13" s="31">
        <f t="shared" si="5"/>
        <v>215.43</v>
      </c>
      <c r="G13" s="31">
        <f t="shared" si="6"/>
        <v>167.13000000000002</v>
      </c>
      <c r="H13" s="31">
        <f t="shared" si="7"/>
        <v>105.60000000000001</v>
      </c>
      <c r="I13" s="31">
        <f t="shared" si="8"/>
        <v>164.79999999999998</v>
      </c>
      <c r="J13" s="31">
        <f t="shared" si="9"/>
        <v>314.7999999999999</v>
      </c>
      <c r="K13" s="31">
        <f t="shared" si="10"/>
        <v>284.79999999999995</v>
      </c>
      <c r="L13" s="31">
        <f t="shared" si="11"/>
        <v>386.79999999999995</v>
      </c>
      <c r="M13" s="31">
        <f t="shared" si="12"/>
        <v>207.60000000000002</v>
      </c>
      <c r="N13" s="31">
        <f t="shared" si="13"/>
        <v>6.8000000000000043</v>
      </c>
      <c r="O13" s="31">
        <f t="shared" si="14"/>
        <v>15.800000000000011</v>
      </c>
      <c r="P13" s="7"/>
    </row>
    <row r="14" spans="1:52" ht="15.75">
      <c r="A14" s="49" t="s">
        <v>49</v>
      </c>
      <c r="B14" s="35"/>
      <c r="C14" s="36"/>
      <c r="D14" s="31">
        <f t="shared" si="3"/>
        <v>58.190000000000005</v>
      </c>
      <c r="E14" s="31">
        <f t="shared" si="4"/>
        <v>55.3</v>
      </c>
      <c r="F14" s="31">
        <f t="shared" si="5"/>
        <v>134.66</v>
      </c>
      <c r="G14" s="31">
        <f t="shared" si="6"/>
        <v>85.08</v>
      </c>
      <c r="H14" s="31">
        <f t="shared" si="7"/>
        <v>37.510000000000005</v>
      </c>
      <c r="I14" s="31">
        <f t="shared" si="8"/>
        <v>0</v>
      </c>
      <c r="J14" s="31">
        <f t="shared" si="9"/>
        <v>0</v>
      </c>
      <c r="K14" s="31">
        <f t="shared" si="10"/>
        <v>8.66</v>
      </c>
      <c r="L14" s="31">
        <f t="shared" si="11"/>
        <v>116.87999999999998</v>
      </c>
      <c r="M14" s="31">
        <f t="shared" si="12"/>
        <v>150.01</v>
      </c>
      <c r="N14" s="31">
        <f t="shared" si="13"/>
        <v>174.25</v>
      </c>
      <c r="O14" s="31">
        <f t="shared" si="14"/>
        <v>407.70499999999998</v>
      </c>
      <c r="P14" s="7"/>
    </row>
    <row r="15" spans="1:52" ht="15.75">
      <c r="A15" s="49" t="s">
        <v>17</v>
      </c>
      <c r="B15" s="35"/>
      <c r="C15" s="36"/>
      <c r="D15" s="31">
        <f t="shared" si="3"/>
        <v>127.11999999999998</v>
      </c>
      <c r="E15" s="31">
        <f t="shared" si="4"/>
        <v>109.92000000000002</v>
      </c>
      <c r="F15" s="31">
        <f t="shared" si="5"/>
        <v>-25.28</v>
      </c>
      <c r="G15" s="31">
        <f t="shared" si="6"/>
        <v>98.960000000000008</v>
      </c>
      <c r="H15" s="31">
        <f t="shared" si="7"/>
        <v>101.19999999999999</v>
      </c>
      <c r="I15" s="31">
        <f t="shared" si="8"/>
        <v>0.48000000000000398</v>
      </c>
      <c r="J15" s="31">
        <f t="shared" si="9"/>
        <v>56</v>
      </c>
      <c r="K15" s="31">
        <f t="shared" si="10"/>
        <v>0</v>
      </c>
      <c r="L15" s="31">
        <f t="shared" si="11"/>
        <v>0</v>
      </c>
      <c r="M15" s="31">
        <f t="shared" si="12"/>
        <v>8.9600000000000009</v>
      </c>
      <c r="N15" s="31">
        <f t="shared" si="13"/>
        <v>0.96000000000000008</v>
      </c>
      <c r="O15" s="31">
        <f t="shared" si="14"/>
        <v>73.07999999999997</v>
      </c>
      <c r="P15" s="7"/>
    </row>
    <row r="16" spans="1:52" ht="15.75">
      <c r="A16" s="49" t="s">
        <v>18</v>
      </c>
      <c r="B16" s="35"/>
      <c r="C16" s="36"/>
      <c r="D16" s="31">
        <f t="shared" si="3"/>
        <v>-150.43999999999997</v>
      </c>
      <c r="E16" s="31">
        <f t="shared" si="4"/>
        <v>-6.3600000000000421</v>
      </c>
      <c r="F16" s="31">
        <f t="shared" si="5"/>
        <v>-30.479999999999961</v>
      </c>
      <c r="G16" s="31">
        <f t="shared" si="6"/>
        <v>21.359999999999957</v>
      </c>
      <c r="H16" s="31">
        <f t="shared" si="7"/>
        <v>55.56</v>
      </c>
      <c r="I16" s="31">
        <f t="shared" si="8"/>
        <v>174.48000000000002</v>
      </c>
      <c r="J16" s="31">
        <f t="shared" si="9"/>
        <v>94.92</v>
      </c>
      <c r="K16" s="31">
        <f t="shared" si="10"/>
        <v>0.24000000000000021</v>
      </c>
      <c r="L16" s="31">
        <f t="shared" si="11"/>
        <v>1.7999999999999998</v>
      </c>
      <c r="M16" s="31">
        <f t="shared" si="12"/>
        <v>0.12000000000000099</v>
      </c>
      <c r="N16" s="31">
        <f t="shared" si="13"/>
        <v>13.439999999999998</v>
      </c>
      <c r="O16" s="31">
        <f t="shared" si="14"/>
        <v>0.60000000000000009</v>
      </c>
      <c r="P16" s="7"/>
      <c r="Q16" s="1"/>
      <c r="R16" s="148"/>
    </row>
    <row r="17" spans="1:40" ht="15.75">
      <c r="A17" s="49" t="s">
        <v>19</v>
      </c>
      <c r="B17" s="35"/>
      <c r="C17" s="36"/>
      <c r="D17" s="31">
        <f t="shared" si="3"/>
        <v>73.399999999999977</v>
      </c>
      <c r="E17" s="31">
        <f t="shared" si="4"/>
        <v>103.21999999999998</v>
      </c>
      <c r="F17" s="31">
        <f t="shared" si="5"/>
        <v>135.6</v>
      </c>
      <c r="G17" s="31">
        <f t="shared" si="6"/>
        <v>64</v>
      </c>
      <c r="H17" s="31">
        <f t="shared" si="7"/>
        <v>77.200000000000017</v>
      </c>
      <c r="I17" s="31">
        <f t="shared" si="8"/>
        <v>154</v>
      </c>
      <c r="J17" s="31">
        <f t="shared" si="9"/>
        <v>33.599999999999994</v>
      </c>
      <c r="K17" s="31">
        <f t="shared" si="10"/>
        <v>42.400000000000013</v>
      </c>
      <c r="L17" s="31">
        <f t="shared" si="11"/>
        <v>12.8</v>
      </c>
      <c r="M17" s="31">
        <f t="shared" si="12"/>
        <v>0.40000000000000213</v>
      </c>
      <c r="N17" s="31">
        <f t="shared" si="13"/>
        <v>116.4</v>
      </c>
      <c r="O17" s="31">
        <f t="shared" si="14"/>
        <v>72.400000000000034</v>
      </c>
      <c r="P17" s="7"/>
    </row>
    <row r="18" spans="1:40" ht="15.75">
      <c r="A18" s="49" t="s">
        <v>20</v>
      </c>
      <c r="B18" s="35"/>
      <c r="C18" s="36"/>
      <c r="D18" s="31">
        <f t="shared" si="3"/>
        <v>3</v>
      </c>
      <c r="E18" s="31">
        <f t="shared" si="4"/>
        <v>111</v>
      </c>
      <c r="F18" s="31">
        <f t="shared" si="5"/>
        <v>49</v>
      </c>
      <c r="G18" s="31">
        <f t="shared" si="6"/>
        <v>112</v>
      </c>
      <c r="H18" s="31">
        <f t="shared" si="7"/>
        <v>64.150000000000006</v>
      </c>
      <c r="I18" s="31">
        <f t="shared" si="8"/>
        <v>61</v>
      </c>
      <c r="J18" s="31">
        <f t="shared" si="9"/>
        <v>-3</v>
      </c>
      <c r="K18" s="31">
        <f t="shared" si="10"/>
        <v>6</v>
      </c>
      <c r="L18" s="31">
        <f t="shared" si="11"/>
        <v>54</v>
      </c>
      <c r="M18" s="31">
        <f t="shared" si="12"/>
        <v>130</v>
      </c>
      <c r="N18" s="31">
        <f t="shared" si="13"/>
        <v>73</v>
      </c>
      <c r="O18" s="31">
        <f t="shared" si="14"/>
        <v>77.360000000000014</v>
      </c>
      <c r="P18" s="7"/>
    </row>
    <row r="19" spans="1:40" ht="15.75">
      <c r="A19" s="49" t="s">
        <v>21</v>
      </c>
      <c r="B19" s="35"/>
      <c r="C19" s="36"/>
      <c r="D19" s="31">
        <f t="shared" si="3"/>
        <v>59</v>
      </c>
      <c r="E19" s="31">
        <f t="shared" si="4"/>
        <v>119</v>
      </c>
      <c r="F19" s="31">
        <f t="shared" si="5"/>
        <v>132</v>
      </c>
      <c r="G19" s="31">
        <f t="shared" si="6"/>
        <v>22</v>
      </c>
      <c r="H19" s="31">
        <f t="shared" si="7"/>
        <v>72</v>
      </c>
      <c r="I19" s="31">
        <f t="shared" si="8"/>
        <v>7</v>
      </c>
      <c r="J19" s="31">
        <f t="shared" si="9"/>
        <v>0</v>
      </c>
      <c r="K19" s="31">
        <f t="shared" si="10"/>
        <v>0</v>
      </c>
      <c r="L19" s="31">
        <f t="shared" si="11"/>
        <v>4</v>
      </c>
      <c r="M19" s="31">
        <f t="shared" si="12"/>
        <v>3</v>
      </c>
      <c r="N19" s="31">
        <f t="shared" si="13"/>
        <v>19</v>
      </c>
      <c r="O19" s="31">
        <f t="shared" si="14"/>
        <v>2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3"/>
        <v>122.75</v>
      </c>
      <c r="E20" s="31">
        <f t="shared" si="4"/>
        <v>129</v>
      </c>
      <c r="F20" s="31">
        <f t="shared" si="5"/>
        <v>213</v>
      </c>
      <c r="G20" s="31">
        <f t="shared" si="6"/>
        <v>179</v>
      </c>
      <c r="H20" s="31">
        <f t="shared" si="7"/>
        <v>147</v>
      </c>
      <c r="I20" s="31">
        <f t="shared" si="8"/>
        <v>123</v>
      </c>
      <c r="J20" s="31">
        <f t="shared" si="9"/>
        <v>144</v>
      </c>
      <c r="K20" s="31">
        <f t="shared" si="10"/>
        <v>135</v>
      </c>
      <c r="L20" s="31">
        <f t="shared" si="11"/>
        <v>154</v>
      </c>
      <c r="M20" s="31">
        <f t="shared" si="12"/>
        <v>239</v>
      </c>
      <c r="N20" s="31">
        <f t="shared" si="13"/>
        <v>187</v>
      </c>
      <c r="O20" s="31">
        <f t="shared" si="14"/>
        <v>2</v>
      </c>
      <c r="P20" s="7"/>
    </row>
    <row r="21" spans="1:40" ht="15.75">
      <c r="A21" s="49" t="s">
        <v>23</v>
      </c>
      <c r="B21" s="35"/>
      <c r="C21" s="36"/>
      <c r="D21" s="31">
        <f t="shared" si="3"/>
        <v>-2.5999999999999996</v>
      </c>
      <c r="E21" s="31">
        <f t="shared" si="4"/>
        <v>31.975000000000001</v>
      </c>
      <c r="F21" s="31">
        <f t="shared" si="5"/>
        <v>27.9</v>
      </c>
      <c r="G21" s="31">
        <f t="shared" si="6"/>
        <v>22.45</v>
      </c>
      <c r="H21" s="31">
        <f t="shared" si="7"/>
        <v>3.75</v>
      </c>
      <c r="I21" s="31">
        <f t="shared" si="8"/>
        <v>1.25</v>
      </c>
      <c r="J21" s="31">
        <f t="shared" si="9"/>
        <v>1.375</v>
      </c>
      <c r="K21" s="31">
        <f t="shared" si="10"/>
        <v>0.5</v>
      </c>
      <c r="L21" s="31">
        <f t="shared" si="11"/>
        <v>15.170000000000002</v>
      </c>
      <c r="M21" s="31">
        <f t="shared" si="12"/>
        <v>41.42</v>
      </c>
      <c r="N21" s="31">
        <f t="shared" si="13"/>
        <v>26.17</v>
      </c>
      <c r="O21" s="31">
        <f t="shared" si="14"/>
        <v>184.79599999999999</v>
      </c>
      <c r="P21" s="7"/>
    </row>
    <row r="22" spans="1:40" ht="15.75">
      <c r="A22" s="49" t="s">
        <v>24</v>
      </c>
      <c r="B22" s="35"/>
      <c r="C22" s="36"/>
      <c r="D22" s="31">
        <f t="shared" si="3"/>
        <v>-1.6</v>
      </c>
      <c r="E22" s="31">
        <f t="shared" si="4"/>
        <v>-0.8</v>
      </c>
      <c r="F22" s="31">
        <f t="shared" si="5"/>
        <v>45.209999999999994</v>
      </c>
      <c r="G22" s="31">
        <f t="shared" si="6"/>
        <v>14.599999999999998</v>
      </c>
      <c r="H22" s="31">
        <f t="shared" si="7"/>
        <v>2.6000000000000005</v>
      </c>
      <c r="I22" s="31">
        <f t="shared" si="8"/>
        <v>0.6</v>
      </c>
      <c r="J22" s="31">
        <f t="shared" si="9"/>
        <v>88.92</v>
      </c>
      <c r="K22" s="31">
        <f t="shared" si="10"/>
        <v>31.639999999999993</v>
      </c>
      <c r="L22" s="31">
        <f t="shared" si="11"/>
        <v>10.800000000000004</v>
      </c>
      <c r="M22" s="31">
        <f t="shared" si="12"/>
        <v>27.8</v>
      </c>
      <c r="N22" s="31">
        <f t="shared" si="13"/>
        <v>0.4</v>
      </c>
      <c r="O22" s="31">
        <f t="shared" si="14"/>
        <v>63.53</v>
      </c>
      <c r="P22" s="7"/>
    </row>
    <row r="23" spans="1:40" ht="15.75">
      <c r="A23" s="49" t="s">
        <v>25</v>
      </c>
      <c r="B23" s="35"/>
      <c r="C23" s="36"/>
      <c r="D23" s="31">
        <f t="shared" si="3"/>
        <v>93.549847715736064</v>
      </c>
      <c r="E23" s="31">
        <f t="shared" si="4"/>
        <v>201.70223350253809</v>
      </c>
      <c r="F23" s="31">
        <f t="shared" si="5"/>
        <v>355.12213197969527</v>
      </c>
      <c r="G23" s="31">
        <f t="shared" si="6"/>
        <v>293.35578680203048</v>
      </c>
      <c r="H23" s="31">
        <f t="shared" si="7"/>
        <v>330.73</v>
      </c>
      <c r="I23" s="31">
        <f t="shared" si="8"/>
        <v>258.66000000000003</v>
      </c>
      <c r="J23" s="31">
        <f t="shared" si="9"/>
        <v>16.079999999999998</v>
      </c>
      <c r="K23" s="31">
        <f t="shared" si="10"/>
        <v>12</v>
      </c>
      <c r="L23" s="31">
        <f t="shared" si="11"/>
        <v>132.62</v>
      </c>
      <c r="M23" s="31">
        <f t="shared" si="12"/>
        <v>164.57999999999998</v>
      </c>
      <c r="N23" s="31">
        <f t="shared" si="13"/>
        <v>188.38000000000002</v>
      </c>
      <c r="O23" s="31">
        <f t="shared" si="14"/>
        <v>52.03</v>
      </c>
      <c r="P23" s="7"/>
    </row>
    <row r="24" spans="1:40" ht="15.75">
      <c r="A24" s="49" t="s">
        <v>51</v>
      </c>
      <c r="B24" s="35"/>
      <c r="C24" s="36"/>
      <c r="D24" s="31">
        <f t="shared" si="3"/>
        <v>244.34999999999997</v>
      </c>
      <c r="E24" s="31">
        <f t="shared" si="4"/>
        <v>254.83000000000004</v>
      </c>
      <c r="F24" s="31">
        <f t="shared" si="5"/>
        <v>284.58000000000004</v>
      </c>
      <c r="G24" s="31">
        <f t="shared" si="6"/>
        <v>375.45</v>
      </c>
      <c r="H24" s="31">
        <f t="shared" si="7"/>
        <v>291.89</v>
      </c>
      <c r="I24" s="31">
        <f t="shared" si="8"/>
        <v>483.51</v>
      </c>
      <c r="J24" s="31">
        <f t="shared" si="9"/>
        <v>437.15</v>
      </c>
      <c r="K24" s="31">
        <f t="shared" si="10"/>
        <v>101.66300000000001</v>
      </c>
      <c r="L24" s="31">
        <f t="shared" si="11"/>
        <v>309.53000000000009</v>
      </c>
      <c r="M24" s="31">
        <f t="shared" si="12"/>
        <v>272.88</v>
      </c>
      <c r="N24" s="31">
        <f t="shared" si="13"/>
        <v>328.2</v>
      </c>
      <c r="O24" s="31">
        <f t="shared" si="14"/>
        <v>279.69</v>
      </c>
      <c r="P24" s="7"/>
    </row>
    <row r="25" spans="1:40" ht="15.75">
      <c r="A25" s="49" t="s">
        <v>27</v>
      </c>
      <c r="B25" s="35"/>
      <c r="C25" s="36"/>
      <c r="D25" s="31">
        <f t="shared" si="3"/>
        <v>76.599999999999994</v>
      </c>
      <c r="E25" s="31">
        <f t="shared" si="4"/>
        <v>86.5</v>
      </c>
      <c r="F25" s="31">
        <f t="shared" si="5"/>
        <v>93.5</v>
      </c>
      <c r="G25" s="31">
        <f t="shared" si="6"/>
        <v>67.25</v>
      </c>
      <c r="H25" s="31">
        <f t="shared" si="7"/>
        <v>58.25</v>
      </c>
      <c r="I25" s="31">
        <f t="shared" si="8"/>
        <v>127.18</v>
      </c>
      <c r="J25" s="31">
        <f t="shared" si="9"/>
        <v>83.75</v>
      </c>
      <c r="K25" s="31">
        <f t="shared" si="10"/>
        <v>62</v>
      </c>
      <c r="L25" s="31">
        <f t="shared" si="11"/>
        <v>99</v>
      </c>
      <c r="M25" s="31">
        <f t="shared" si="12"/>
        <v>103.5</v>
      </c>
      <c r="N25" s="31">
        <f t="shared" si="13"/>
        <v>70</v>
      </c>
      <c r="O25" s="31">
        <f t="shared" si="14"/>
        <v>31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3"/>
        <v>102.9</v>
      </c>
      <c r="E26" s="31">
        <f t="shared" si="4"/>
        <v>212.35</v>
      </c>
      <c r="F26" s="31">
        <f t="shared" si="5"/>
        <v>24.810000000000002</v>
      </c>
      <c r="G26" s="31">
        <f t="shared" si="6"/>
        <v>105.53999999999999</v>
      </c>
      <c r="H26" s="31">
        <f t="shared" si="7"/>
        <v>81.75</v>
      </c>
      <c r="I26" s="31">
        <f t="shared" si="8"/>
        <v>47.610000000000007</v>
      </c>
      <c r="J26" s="31">
        <f t="shared" si="9"/>
        <v>76.510000000000019</v>
      </c>
      <c r="K26" s="31">
        <f t="shared" si="10"/>
        <v>138.64000000000001</v>
      </c>
      <c r="L26" s="31">
        <f t="shared" si="11"/>
        <v>129.16000000000003</v>
      </c>
      <c r="M26" s="31">
        <f t="shared" si="12"/>
        <v>192.65000000000003</v>
      </c>
      <c r="N26" s="31">
        <f t="shared" si="13"/>
        <v>216.3</v>
      </c>
      <c r="O26" s="31">
        <f t="shared" si="14"/>
        <v>33.629999999999995</v>
      </c>
      <c r="P26" s="7"/>
    </row>
    <row r="27" spans="1:40" ht="15.75">
      <c r="A27" s="49" t="s">
        <v>29</v>
      </c>
      <c r="B27" s="35"/>
      <c r="C27" s="36"/>
      <c r="D27" s="31">
        <f t="shared" si="3"/>
        <v>0</v>
      </c>
      <c r="E27" s="31">
        <f t="shared" si="4"/>
        <v>0</v>
      </c>
      <c r="F27" s="31">
        <f t="shared" si="5"/>
        <v>0</v>
      </c>
      <c r="G27" s="31">
        <f t="shared" si="6"/>
        <v>0</v>
      </c>
      <c r="H27" s="31">
        <f t="shared" si="7"/>
        <v>27.759999999999998</v>
      </c>
      <c r="I27" s="31">
        <f t="shared" si="8"/>
        <v>0</v>
      </c>
      <c r="J27" s="31">
        <f t="shared" si="9"/>
        <v>77.05</v>
      </c>
      <c r="K27" s="31">
        <f t="shared" si="10"/>
        <v>50.58</v>
      </c>
      <c r="L27" s="31">
        <f t="shared" si="11"/>
        <v>174.52</v>
      </c>
      <c r="M27" s="31">
        <f t="shared" si="12"/>
        <v>201.02</v>
      </c>
      <c r="N27" s="31">
        <f t="shared" si="13"/>
        <v>0</v>
      </c>
      <c r="O27" s="31">
        <f t="shared" si="14"/>
        <v>260.202</v>
      </c>
      <c r="P27" s="7"/>
    </row>
    <row r="28" spans="1:40" ht="15.75">
      <c r="A28" s="49" t="s">
        <v>42</v>
      </c>
      <c r="B28" s="35"/>
      <c r="C28" s="36"/>
      <c r="D28" s="31">
        <f t="shared" si="3"/>
        <v>0</v>
      </c>
      <c r="E28" s="31">
        <f t="shared" si="4"/>
        <v>0</v>
      </c>
      <c r="F28" s="31">
        <f t="shared" si="5"/>
        <v>0</v>
      </c>
      <c r="G28" s="31">
        <f t="shared" si="6"/>
        <v>18</v>
      </c>
      <c r="H28" s="31">
        <f t="shared" si="7"/>
        <v>0</v>
      </c>
      <c r="I28" s="31">
        <f t="shared" si="8"/>
        <v>75</v>
      </c>
      <c r="J28" s="31">
        <f t="shared" si="9"/>
        <v>0</v>
      </c>
      <c r="K28" s="31">
        <f t="shared" si="10"/>
        <v>0</v>
      </c>
      <c r="L28" s="31">
        <f t="shared" si="11"/>
        <v>0</v>
      </c>
      <c r="M28" s="31">
        <f t="shared" si="12"/>
        <v>0</v>
      </c>
      <c r="N28" s="31">
        <f t="shared" si="13"/>
        <v>0</v>
      </c>
      <c r="O28" s="31">
        <f t="shared" si="14"/>
        <v>0</v>
      </c>
      <c r="P28" s="7"/>
    </row>
    <row r="29" spans="1:40" ht="15.75">
      <c r="A29" s="49" t="s">
        <v>50</v>
      </c>
      <c r="B29" s="35"/>
      <c r="C29" s="36"/>
      <c r="D29" s="31">
        <f t="shared" si="3"/>
        <v>23.48</v>
      </c>
      <c r="E29" s="31">
        <f t="shared" si="4"/>
        <v>77.660000000000011</v>
      </c>
      <c r="F29" s="31">
        <f t="shared" si="5"/>
        <v>105.85</v>
      </c>
      <c r="G29" s="31">
        <f t="shared" si="6"/>
        <v>162.19999999999999</v>
      </c>
      <c r="H29" s="31">
        <f t="shared" si="7"/>
        <v>92.200000000000017</v>
      </c>
      <c r="I29" s="31">
        <f t="shared" si="8"/>
        <v>249.52</v>
      </c>
      <c r="J29" s="31">
        <f t="shared" si="9"/>
        <v>114.47999999999999</v>
      </c>
      <c r="K29" s="31">
        <f t="shared" si="10"/>
        <v>81</v>
      </c>
      <c r="L29" s="31">
        <f t="shared" si="11"/>
        <v>154.41</v>
      </c>
      <c r="M29" s="31">
        <f t="shared" si="12"/>
        <v>80.52</v>
      </c>
      <c r="N29" s="31">
        <f t="shared" si="13"/>
        <v>72.78</v>
      </c>
      <c r="O29" s="31">
        <f t="shared" si="14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3"/>
        <v>28.799999999999997</v>
      </c>
      <c r="E30" s="31">
        <f t="shared" si="4"/>
        <v>37.199999999999996</v>
      </c>
      <c r="F30" s="31">
        <f t="shared" si="5"/>
        <v>119.84000000000002</v>
      </c>
      <c r="G30" s="31">
        <f t="shared" si="6"/>
        <v>14.589999999999989</v>
      </c>
      <c r="H30" s="31">
        <f t="shared" si="7"/>
        <v>101.83000000000001</v>
      </c>
      <c r="I30" s="31">
        <f t="shared" si="8"/>
        <v>52.42</v>
      </c>
      <c r="J30" s="31">
        <f t="shared" si="9"/>
        <v>0</v>
      </c>
      <c r="K30" s="31">
        <f t="shared" si="10"/>
        <v>21</v>
      </c>
      <c r="L30" s="31">
        <f t="shared" si="11"/>
        <v>95.2</v>
      </c>
      <c r="M30" s="31">
        <f t="shared" si="12"/>
        <v>0</v>
      </c>
      <c r="N30" s="31">
        <f t="shared" si="13"/>
        <v>43.96</v>
      </c>
      <c r="O30" s="31">
        <f t="shared" si="14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3"/>
        <v>0</v>
      </c>
      <c r="E31" s="31">
        <f t="shared" si="4"/>
        <v>0</v>
      </c>
      <c r="F31" s="31">
        <f t="shared" si="5"/>
        <v>0</v>
      </c>
      <c r="G31" s="31">
        <f t="shared" si="6"/>
        <v>0</v>
      </c>
      <c r="H31" s="31">
        <f t="shared" si="7"/>
        <v>0</v>
      </c>
      <c r="I31" s="31">
        <f t="shared" si="8"/>
        <v>0</v>
      </c>
      <c r="J31" s="31">
        <f t="shared" si="9"/>
        <v>111.08</v>
      </c>
      <c r="K31" s="31">
        <f t="shared" si="10"/>
        <v>315</v>
      </c>
      <c r="L31" s="31">
        <f t="shared" si="11"/>
        <v>472</v>
      </c>
      <c r="M31" s="31">
        <f t="shared" si="12"/>
        <v>35</v>
      </c>
      <c r="N31" s="31">
        <f t="shared" si="13"/>
        <v>28</v>
      </c>
      <c r="O31" s="31">
        <f t="shared" si="14"/>
        <v>58</v>
      </c>
      <c r="P31" s="7"/>
    </row>
    <row r="32" spans="1:40" ht="15.75">
      <c r="A32" s="49" t="s">
        <v>34</v>
      </c>
      <c r="B32" s="35"/>
      <c r="C32" s="36"/>
      <c r="D32" s="31">
        <f t="shared" si="3"/>
        <v>240</v>
      </c>
      <c r="E32" s="31">
        <f t="shared" si="4"/>
        <v>392</v>
      </c>
      <c r="F32" s="31">
        <f t="shared" si="5"/>
        <v>162.57499999999999</v>
      </c>
      <c r="G32" s="31">
        <f t="shared" si="6"/>
        <v>643.77499999999998</v>
      </c>
      <c r="H32" s="31">
        <f t="shared" si="7"/>
        <v>448.42999999999995</v>
      </c>
      <c r="I32" s="31">
        <f t="shared" si="8"/>
        <v>541.30999999999995</v>
      </c>
      <c r="J32" s="31">
        <f t="shared" si="9"/>
        <v>348.31</v>
      </c>
      <c r="K32" s="31">
        <f t="shared" si="10"/>
        <v>192.28</v>
      </c>
      <c r="L32" s="31">
        <f t="shared" si="11"/>
        <v>268.28999999999996</v>
      </c>
      <c r="M32" s="31">
        <f t="shared" si="12"/>
        <v>294.5</v>
      </c>
      <c r="N32" s="31">
        <f t="shared" si="13"/>
        <v>405.21999999999997</v>
      </c>
      <c r="O32" s="31">
        <f t="shared" si="14"/>
        <v>429.71000000000004</v>
      </c>
      <c r="P32" s="7"/>
    </row>
    <row r="33" spans="1:71" s="1" customFormat="1" ht="15.75">
      <c r="A33" s="133" t="s">
        <v>98</v>
      </c>
      <c r="B33" s="134"/>
      <c r="C33" s="135"/>
      <c r="D33" s="31">
        <f t="shared" si="3"/>
        <v>0</v>
      </c>
      <c r="E33" s="31">
        <f t="shared" si="4"/>
        <v>3</v>
      </c>
      <c r="F33" s="31">
        <f t="shared" si="5"/>
        <v>0</v>
      </c>
      <c r="G33" s="31">
        <f t="shared" si="6"/>
        <v>0</v>
      </c>
      <c r="H33" s="31">
        <f t="shared" ref="H33:O33" si="15">J73</f>
        <v>0</v>
      </c>
      <c r="I33" s="31">
        <f t="shared" si="15"/>
        <v>3</v>
      </c>
      <c r="J33" s="31">
        <f t="shared" si="15"/>
        <v>0</v>
      </c>
      <c r="K33" s="31">
        <f t="shared" si="15"/>
        <v>0</v>
      </c>
      <c r="L33" s="31">
        <f t="shared" si="15"/>
        <v>0</v>
      </c>
      <c r="M33" s="31">
        <f>O73</f>
        <v>0</v>
      </c>
      <c r="N33" s="31">
        <f t="shared" si="15"/>
        <v>0</v>
      </c>
      <c r="O33" s="31">
        <f t="shared" si="15"/>
        <v>0</v>
      </c>
      <c r="P33" s="7"/>
    </row>
    <row r="34" spans="1:71" s="1" customFormat="1" ht="15.75">
      <c r="A34" s="50" t="s">
        <v>60</v>
      </c>
      <c r="B34" s="37"/>
      <c r="C34" s="38"/>
      <c r="D34" s="147">
        <f>SUM(D4:D33)</f>
        <v>3007.9998477157365</v>
      </c>
      <c r="E34" s="147">
        <f t="shared" ref="E34:O34" si="16">SUM(E4:E33)</f>
        <v>4074.8772335025374</v>
      </c>
      <c r="F34" s="147">
        <f t="shared" si="16"/>
        <v>3599.8171319796957</v>
      </c>
      <c r="G34" s="147">
        <f t="shared" si="16"/>
        <v>4417.5807868020302</v>
      </c>
      <c r="H34" s="147">
        <f t="shared" si="16"/>
        <v>4037.5199999999995</v>
      </c>
      <c r="I34" s="147">
        <f t="shared" si="16"/>
        <v>4533.6400000000003</v>
      </c>
      <c r="J34" s="147">
        <f t="shared" si="16"/>
        <v>3667.0750000000003</v>
      </c>
      <c r="K34" s="147">
        <f t="shared" si="16"/>
        <v>2891.223</v>
      </c>
      <c r="L34" s="147">
        <f>SUM(L4:L33)</f>
        <v>4200.3700000000008</v>
      </c>
      <c r="M34" s="147">
        <f t="shared" si="16"/>
        <v>4082.91</v>
      </c>
      <c r="N34" s="147">
        <f t="shared" si="16"/>
        <v>2935.1500000000005</v>
      </c>
      <c r="O34" s="147">
        <f t="shared" si="16"/>
        <v>4033.8030000000008</v>
      </c>
      <c r="P34" s="75">
        <f>SUM(D34:O34)</f>
        <v>45481.966000000008</v>
      </c>
      <c r="Q34" s="1" t="s">
        <v>64</v>
      </c>
    </row>
    <row r="35" spans="1:71">
      <c r="C35" s="1" t="s">
        <v>62</v>
      </c>
      <c r="D35" s="1">
        <v>285</v>
      </c>
      <c r="E35" s="107">
        <v>308</v>
      </c>
      <c r="F35" s="112">
        <v>319</v>
      </c>
      <c r="G35" s="112">
        <v>441</v>
      </c>
      <c r="H35" s="112">
        <v>359</v>
      </c>
      <c r="I35" s="112">
        <v>347</v>
      </c>
      <c r="J35" s="112">
        <v>429</v>
      </c>
      <c r="K35" s="112">
        <v>255</v>
      </c>
      <c r="L35" s="112">
        <v>398</v>
      </c>
      <c r="M35" s="112">
        <v>411</v>
      </c>
      <c r="N35" s="112">
        <v>374</v>
      </c>
      <c r="O35" s="107">
        <v>366</v>
      </c>
      <c r="P35" s="1">
        <f>SUM(D35:O35)</f>
        <v>4292</v>
      </c>
      <c r="Q35" s="1" t="s">
        <v>65</v>
      </c>
      <c r="R35" s="1"/>
    </row>
    <row r="36" spans="1:71">
      <c r="C36" s="1" t="s">
        <v>67</v>
      </c>
      <c r="D36" s="74">
        <f>D34/D35</f>
        <v>10.554385430581531</v>
      </c>
      <c r="E36" s="74">
        <f t="shared" ref="E36:O36" si="17">E34/E35</f>
        <v>13.230120887995252</v>
      </c>
      <c r="F36" s="74">
        <f t="shared" si="17"/>
        <v>11.284693203698106</v>
      </c>
      <c r="G36" s="74">
        <f t="shared" si="17"/>
        <v>10.017189992748367</v>
      </c>
      <c r="H36" s="74">
        <f t="shared" si="17"/>
        <v>11.246573816155987</v>
      </c>
      <c r="I36" s="74">
        <f t="shared" si="17"/>
        <v>13.065244956772336</v>
      </c>
      <c r="J36" s="74">
        <f t="shared" si="17"/>
        <v>8.5479603729603735</v>
      </c>
      <c r="K36" s="74">
        <f t="shared" si="17"/>
        <v>11.338129411764706</v>
      </c>
      <c r="L36" s="74">
        <f t="shared" si="17"/>
        <v>10.553693467336686</v>
      </c>
      <c r="M36" s="74">
        <f t="shared" si="17"/>
        <v>9.9340875912408748</v>
      </c>
      <c r="N36" s="74">
        <f t="shared" si="17"/>
        <v>7.8479946524064186</v>
      </c>
      <c r="O36" s="74">
        <f t="shared" si="17"/>
        <v>11.021319672131149</v>
      </c>
      <c r="P36" s="74">
        <f>P34/P35</f>
        <v>10.596916589002797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2022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44561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8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9"/>
      <c r="B41" s="167" t="s">
        <v>97</v>
      </c>
      <c r="C41" s="2" t="s">
        <v>5</v>
      </c>
      <c r="D41" s="2" t="s">
        <v>3</v>
      </c>
      <c r="E41" s="167" t="s">
        <v>97</v>
      </c>
      <c r="F41" s="70" t="s">
        <v>30</v>
      </c>
      <c r="G41" s="167" t="s">
        <v>97</v>
      </c>
      <c r="H41" s="2" t="s">
        <v>5</v>
      </c>
      <c r="I41" s="2" t="s">
        <v>3</v>
      </c>
      <c r="J41" s="167" t="s">
        <v>97</v>
      </c>
      <c r="K41" s="70" t="s">
        <v>31</v>
      </c>
      <c r="L41" s="167" t="s">
        <v>97</v>
      </c>
      <c r="M41" s="2" t="s">
        <v>5</v>
      </c>
      <c r="N41" s="2" t="s">
        <v>3</v>
      </c>
      <c r="O41" s="167" t="s">
        <v>97</v>
      </c>
      <c r="P41" s="70" t="s">
        <v>32</v>
      </c>
      <c r="Q41" s="167" t="s">
        <v>97</v>
      </c>
      <c r="R41" s="2" t="s">
        <v>5</v>
      </c>
      <c r="S41" s="2" t="s">
        <v>3</v>
      </c>
      <c r="T41" s="167" t="s">
        <v>97</v>
      </c>
      <c r="U41" s="70" t="s">
        <v>33</v>
      </c>
      <c r="V41" s="167" t="s">
        <v>97</v>
      </c>
      <c r="W41" s="2" t="s">
        <v>5</v>
      </c>
      <c r="X41" s="2" t="s">
        <v>3</v>
      </c>
      <c r="Y41" s="167" t="s">
        <v>97</v>
      </c>
      <c r="Z41" s="70" t="s">
        <v>38</v>
      </c>
      <c r="AA41" s="167" t="s">
        <v>97</v>
      </c>
      <c r="AB41" s="2" t="s">
        <v>5</v>
      </c>
      <c r="AC41" s="2" t="s">
        <v>3</v>
      </c>
      <c r="AD41" s="167" t="s">
        <v>97</v>
      </c>
      <c r="AE41" s="70" t="s">
        <v>52</v>
      </c>
      <c r="AF41" s="167" t="s">
        <v>97</v>
      </c>
      <c r="AG41" s="2" t="s">
        <v>5</v>
      </c>
      <c r="AH41" s="2" t="s">
        <v>3</v>
      </c>
      <c r="AI41" s="167" t="s">
        <v>97</v>
      </c>
      <c r="AJ41" s="70" t="s">
        <v>54</v>
      </c>
      <c r="AK41" s="167" t="s">
        <v>97</v>
      </c>
      <c r="AL41" s="2" t="s">
        <v>5</v>
      </c>
      <c r="AM41" s="2" t="s">
        <v>3</v>
      </c>
      <c r="AN41" s="167" t="s">
        <v>97</v>
      </c>
      <c r="AO41" s="70" t="s">
        <v>55</v>
      </c>
      <c r="AP41" s="167" t="s">
        <v>97</v>
      </c>
      <c r="AQ41" s="2" t="s">
        <v>5</v>
      </c>
      <c r="AR41" s="2" t="s">
        <v>3</v>
      </c>
      <c r="AS41" s="167" t="s">
        <v>97</v>
      </c>
      <c r="AT41" s="70" t="s">
        <v>56</v>
      </c>
      <c r="AU41" s="167" t="s">
        <v>97</v>
      </c>
      <c r="AV41" s="2" t="s">
        <v>5</v>
      </c>
      <c r="AW41" s="2" t="s">
        <v>3</v>
      </c>
      <c r="AX41" s="167" t="s">
        <v>97</v>
      </c>
      <c r="AY41" s="70" t="s">
        <v>57</v>
      </c>
      <c r="AZ41" s="167" t="s">
        <v>97</v>
      </c>
      <c r="BA41" s="2" t="s">
        <v>5</v>
      </c>
      <c r="BB41" s="2" t="s">
        <v>3</v>
      </c>
      <c r="BC41" s="167" t="s">
        <v>97</v>
      </c>
      <c r="BD41" s="70" t="s">
        <v>58</v>
      </c>
      <c r="BE41" s="167" t="s">
        <v>97</v>
      </c>
      <c r="BF41" s="2" t="s">
        <v>95</v>
      </c>
      <c r="BG41" s="2" t="s">
        <v>94</v>
      </c>
      <c r="BH41" s="167" t="s">
        <v>97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9"/>
      <c r="B42" s="167"/>
      <c r="C42" s="11" t="s">
        <v>69</v>
      </c>
      <c r="D42" s="2" t="s">
        <v>96</v>
      </c>
      <c r="E42" s="167"/>
      <c r="F42" s="70"/>
      <c r="G42" s="167"/>
      <c r="H42" s="11" t="s">
        <v>69</v>
      </c>
      <c r="I42" s="2"/>
      <c r="J42" s="167"/>
      <c r="K42" s="70"/>
      <c r="L42" s="167"/>
      <c r="M42" s="11" t="s">
        <v>69</v>
      </c>
      <c r="N42" s="2"/>
      <c r="O42" s="167"/>
      <c r="P42" s="70"/>
      <c r="Q42" s="167"/>
      <c r="R42" s="11" t="s">
        <v>69</v>
      </c>
      <c r="S42" s="2"/>
      <c r="T42" s="167"/>
      <c r="U42" s="70"/>
      <c r="V42" s="167"/>
      <c r="W42" s="11" t="s">
        <v>69</v>
      </c>
      <c r="X42" s="2"/>
      <c r="Y42" s="167"/>
      <c r="Z42" s="70"/>
      <c r="AA42" s="167"/>
      <c r="AB42" s="11" t="s">
        <v>69</v>
      </c>
      <c r="AC42" s="2"/>
      <c r="AD42" s="167"/>
      <c r="AE42" s="70"/>
      <c r="AF42" s="167"/>
      <c r="AG42" s="11" t="s">
        <v>69</v>
      </c>
      <c r="AH42" s="2"/>
      <c r="AI42" s="167"/>
      <c r="AJ42" s="70"/>
      <c r="AK42" s="167"/>
      <c r="AL42" s="11" t="s">
        <v>69</v>
      </c>
      <c r="AM42" s="2"/>
      <c r="AN42" s="167"/>
      <c r="AO42" s="70"/>
      <c r="AP42" s="167"/>
      <c r="AQ42" s="11" t="s">
        <v>69</v>
      </c>
      <c r="AR42" s="2"/>
      <c r="AS42" s="167"/>
      <c r="AT42" s="70"/>
      <c r="AU42" s="167"/>
      <c r="AV42" s="11" t="s">
        <v>69</v>
      </c>
      <c r="AW42" s="2"/>
      <c r="AX42" s="167"/>
      <c r="AY42" s="70"/>
      <c r="AZ42" s="167"/>
      <c r="BA42" s="11" t="s">
        <v>69</v>
      </c>
      <c r="BB42" s="2"/>
      <c r="BC42" s="167"/>
      <c r="BD42" s="70"/>
      <c r="BE42" s="167"/>
      <c r="BF42" s="11" t="s">
        <v>69</v>
      </c>
      <c r="BG42" s="116"/>
      <c r="BH42" s="167"/>
      <c r="BI42" s="70"/>
    </row>
    <row r="43" spans="1:71">
      <c r="A43" s="170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85.399999999999991</v>
      </c>
      <c r="C44" s="21">
        <f>10.2+78.1</f>
        <v>88.3</v>
      </c>
      <c r="D44" s="22">
        <v>24.5</v>
      </c>
      <c r="E44" s="23">
        <f>G80</f>
        <v>16.799999999999997</v>
      </c>
      <c r="F44" s="64">
        <f>(B44+C44+D44)-E44</f>
        <v>181.39999999999998</v>
      </c>
      <c r="G44" s="23">
        <v>16.799999999999997</v>
      </c>
      <c r="H44" s="21">
        <v>73.02000000000001</v>
      </c>
      <c r="I44" s="22">
        <v>24.5</v>
      </c>
      <c r="J44" s="23">
        <f>O80</f>
        <v>18.2</v>
      </c>
      <c r="K44" s="64">
        <f>(G44+H44+I44)-J44</f>
        <v>96.12</v>
      </c>
      <c r="L44" s="21">
        <v>18.2</v>
      </c>
      <c r="M44" s="21">
        <v>73.34</v>
      </c>
      <c r="N44" s="24">
        <v>83.3</v>
      </c>
      <c r="O44" s="25">
        <f>W80</f>
        <v>44.099999999999994</v>
      </c>
      <c r="P44" s="64">
        <f>(L44+M44+N44)-O44</f>
        <v>130.74</v>
      </c>
      <c r="Q44" s="26">
        <v>44.099999999999994</v>
      </c>
      <c r="R44" s="26">
        <f>18+130</f>
        <v>148</v>
      </c>
      <c r="S44" s="27">
        <v>70.699999999999989</v>
      </c>
      <c r="T44" s="25">
        <f>AE80</f>
        <v>128.79999999999998</v>
      </c>
      <c r="U44" s="64">
        <f>(Q44+R44+S44)-T44</f>
        <v>133.99999999999997</v>
      </c>
      <c r="V44" s="25">
        <v>128.79999999999998</v>
      </c>
      <c r="W44" s="21">
        <v>138.60000000000002</v>
      </c>
      <c r="X44" s="24">
        <v>49</v>
      </c>
      <c r="Y44" s="25">
        <f>AM80</f>
        <v>118.29999999999998</v>
      </c>
      <c r="Z44" s="64">
        <f>(V44+W44+X44)-Y44</f>
        <v>198.1</v>
      </c>
      <c r="AA44" s="21">
        <v>118.29999999999998</v>
      </c>
      <c r="AB44" s="21">
        <v>184.8</v>
      </c>
      <c r="AC44" s="24">
        <v>35</v>
      </c>
      <c r="AD44" s="25">
        <f>AU80</f>
        <v>116.19999999999999</v>
      </c>
      <c r="AE44" s="64">
        <f>(AA44+AB44+AC44)-AD44</f>
        <v>221.90000000000003</v>
      </c>
      <c r="AF44" s="21">
        <v>116.19999999999999</v>
      </c>
      <c r="AG44" s="21">
        <v>184.8</v>
      </c>
      <c r="AH44" s="24">
        <v>35</v>
      </c>
      <c r="AI44" s="25">
        <f>BC80</f>
        <v>208.6</v>
      </c>
      <c r="AJ44" s="64">
        <f>(AF44+AG44+AH44)-AI44</f>
        <v>127.4</v>
      </c>
      <c r="AK44" s="26">
        <v>208.6</v>
      </c>
      <c r="AL44" s="26">
        <v>92.4</v>
      </c>
      <c r="AM44" s="27">
        <v>21.7</v>
      </c>
      <c r="AN44" s="25">
        <f>BK80</f>
        <v>149.1</v>
      </c>
      <c r="AO44" s="64">
        <f>(AK44+AL44+AM44)-AN44</f>
        <v>173.6</v>
      </c>
      <c r="AP44" s="21">
        <v>149.1</v>
      </c>
      <c r="AQ44" s="21">
        <f>3.6+120.4</f>
        <v>124</v>
      </c>
      <c r="AR44" s="24">
        <v>39.9</v>
      </c>
      <c r="AS44" s="25">
        <f>BS80</f>
        <v>133</v>
      </c>
      <c r="AT44" s="64">
        <f>(AP44+AQ44+AR44)-AS44</f>
        <v>180</v>
      </c>
      <c r="AU44" s="21">
        <v>133</v>
      </c>
      <c r="AV44" s="21">
        <v>70</v>
      </c>
      <c r="AW44" s="24">
        <v>95.199999999999989</v>
      </c>
      <c r="AX44" s="97">
        <f>CA80</f>
        <v>63</v>
      </c>
      <c r="AY44" s="64">
        <f>(AU44+AV44+AW44)-AX44</f>
        <v>235.2</v>
      </c>
      <c r="AZ44" s="131">
        <v>63</v>
      </c>
      <c r="BA44" s="26"/>
      <c r="BB44" s="27">
        <v>53.199999999999996</v>
      </c>
      <c r="BC44" s="25">
        <f>CI80</f>
        <v>25.2</v>
      </c>
      <c r="BD44" s="64">
        <f>(AZ44+BA44+BB44)-BC44</f>
        <v>90.999999999999986</v>
      </c>
      <c r="BE44" s="26">
        <v>25.2</v>
      </c>
      <c r="BF44" s="26">
        <v>95.58</v>
      </c>
      <c r="BG44" s="27">
        <v>37.099999999999994</v>
      </c>
      <c r="BH44" s="25">
        <f>CQ80</f>
        <v>80.5</v>
      </c>
      <c r="BI44" s="64">
        <f>(BE44+BF44+BG44)-BH44</f>
        <v>77.38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69</v>
      </c>
      <c r="C45" s="21">
        <f>13.94+432</f>
        <v>445.94</v>
      </c>
      <c r="D45" s="22">
        <f>43+35.5</f>
        <v>78.5</v>
      </c>
      <c r="E45" s="23">
        <f t="shared" ref="E45" si="18">G81</f>
        <v>108</v>
      </c>
      <c r="F45" s="64">
        <f>(B45+C45+D45)-E45</f>
        <v>485.44000000000005</v>
      </c>
      <c r="G45" s="23">
        <v>108</v>
      </c>
      <c r="H45" s="21">
        <v>504</v>
      </c>
      <c r="I45" s="22">
        <v>43</v>
      </c>
      <c r="J45" s="23">
        <f t="shared" ref="J45" si="19">O81</f>
        <v>191</v>
      </c>
      <c r="K45" s="64">
        <f t="shared" ref="K45:K73" si="20">(G45+H45+I45)-J45</f>
        <v>464</v>
      </c>
      <c r="L45" s="21">
        <v>191</v>
      </c>
      <c r="M45" s="21">
        <v>504</v>
      </c>
      <c r="N45" s="24">
        <v>121</v>
      </c>
      <c r="O45" s="25">
        <f t="shared" ref="O45" si="21">W81</f>
        <v>129</v>
      </c>
      <c r="P45" s="64">
        <f>(L45+M45+N45)-O45</f>
        <v>687</v>
      </c>
      <c r="Q45" s="26">
        <v>129</v>
      </c>
      <c r="R45" s="26">
        <f>5+504</f>
        <v>509</v>
      </c>
      <c r="S45" s="27">
        <v>59</v>
      </c>
      <c r="T45" s="25">
        <f t="shared" ref="T45" si="22">AE81</f>
        <v>96</v>
      </c>
      <c r="U45" s="65">
        <f>(Q45+R45+S45)-T45</f>
        <v>601</v>
      </c>
      <c r="V45" s="25">
        <v>96</v>
      </c>
      <c r="W45" s="21">
        <f>36+28.95+504</f>
        <v>568.95000000000005</v>
      </c>
      <c r="X45" s="24">
        <v>46</v>
      </c>
      <c r="Y45" s="25">
        <f t="shared" ref="Y45" si="23">AM81</f>
        <v>101</v>
      </c>
      <c r="Z45" s="65">
        <f>(V45+W45+X45)-Y45</f>
        <v>609.95000000000005</v>
      </c>
      <c r="AA45" s="21">
        <v>101</v>
      </c>
      <c r="AB45" s="26">
        <v>504</v>
      </c>
      <c r="AC45" s="27">
        <v>92</v>
      </c>
      <c r="AD45" s="25">
        <f t="shared" ref="AD45" si="24">AU81</f>
        <v>43</v>
      </c>
      <c r="AE45" s="65">
        <f t="shared" ref="AE45:AE71" si="25">AA45+AB45+AC45-AD45</f>
        <v>654</v>
      </c>
      <c r="AF45" s="21">
        <v>43</v>
      </c>
      <c r="AG45" s="163">
        <f>48+360</f>
        <v>408</v>
      </c>
      <c r="AH45" s="27">
        <v>23</v>
      </c>
      <c r="AI45" s="25">
        <f t="shared" ref="AI45" si="26">BC81</f>
        <v>135</v>
      </c>
      <c r="AJ45" s="65">
        <f t="shared" ref="AJ45:AJ71" si="27">AF45+AG45+AH45-AI45</f>
        <v>339</v>
      </c>
      <c r="AK45" s="26">
        <v>135</v>
      </c>
      <c r="AL45" s="26">
        <f>29.7+168</f>
        <v>197.7</v>
      </c>
      <c r="AM45" s="27">
        <v>26</v>
      </c>
      <c r="AN45" s="25">
        <f t="shared" ref="AN45" si="28">BK81</f>
        <v>98</v>
      </c>
      <c r="AO45" s="65">
        <f t="shared" ref="AO45:AO71" si="29">AK45+AL45+AM45-AN45</f>
        <v>260.7</v>
      </c>
      <c r="AP45" s="21">
        <v>98</v>
      </c>
      <c r="AQ45" s="26">
        <f>25.44+15+288</f>
        <v>328.44</v>
      </c>
      <c r="AR45" s="27">
        <v>19</v>
      </c>
      <c r="AS45" s="25">
        <f t="shared" ref="AS45" si="30">BS81</f>
        <v>107</v>
      </c>
      <c r="AT45" s="65">
        <f t="shared" ref="AT45:AT71" si="31">AP45+AQ45+AR45-AS45</f>
        <v>338.44</v>
      </c>
      <c r="AU45" s="21">
        <v>107</v>
      </c>
      <c r="AV45" s="26">
        <f>18.13+288</f>
        <v>306.13</v>
      </c>
      <c r="AW45" s="27">
        <v>28</v>
      </c>
      <c r="AX45" s="97">
        <f t="shared" ref="AX45" si="32">CA81</f>
        <v>57</v>
      </c>
      <c r="AY45" s="65">
        <f t="shared" ref="AY45:AY71" si="33">AU45+AV45+AW45-AX45</f>
        <v>384.13</v>
      </c>
      <c r="AZ45" s="131">
        <v>57</v>
      </c>
      <c r="BA45" s="26">
        <f>19.53+288</f>
        <v>307.52999999999997</v>
      </c>
      <c r="BB45" s="27">
        <v>25</v>
      </c>
      <c r="BC45" s="25">
        <f t="shared" ref="BC45" si="34">CI81</f>
        <v>64</v>
      </c>
      <c r="BD45" s="65">
        <f t="shared" ref="BD45:BD72" si="35">AZ45+BA45+BB45-BC45</f>
        <v>325.52999999999997</v>
      </c>
      <c r="BE45" s="26">
        <v>64</v>
      </c>
      <c r="BF45" s="26">
        <f>120.33+36+192</f>
        <v>348.33</v>
      </c>
      <c r="BG45" s="27">
        <v>109</v>
      </c>
      <c r="BH45" s="25">
        <f t="shared" ref="BH45" si="36">CQ81</f>
        <v>54</v>
      </c>
      <c r="BI45" s="65">
        <f t="shared" ref="BI45:BI71" si="37">BE45+BF45+BG45-BH45</f>
        <v>467.32999999999993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318</v>
      </c>
      <c r="C46" s="21">
        <f>151.8+90</f>
        <v>241.8</v>
      </c>
      <c r="D46" s="22"/>
      <c r="E46" s="23">
        <f t="shared" ref="E46:E65" si="38">G82</f>
        <v>203.5</v>
      </c>
      <c r="F46" s="64">
        <f t="shared" ref="F46:F71" si="39">(B46+C46+D46)-E46</f>
        <v>356.29999999999995</v>
      </c>
      <c r="G46" s="23">
        <v>203.5</v>
      </c>
      <c r="H46" s="21">
        <f>96.35+192</f>
        <v>288.35000000000002</v>
      </c>
      <c r="I46" s="22">
        <v>25.5</v>
      </c>
      <c r="J46" s="23">
        <f t="shared" ref="J46:J65" si="40">O82</f>
        <v>126.5</v>
      </c>
      <c r="K46" s="64">
        <f t="shared" si="20"/>
        <v>390.85</v>
      </c>
      <c r="L46" s="21">
        <v>126.5</v>
      </c>
      <c r="M46" s="21">
        <f>88.49+180</f>
        <v>268.49</v>
      </c>
      <c r="N46" s="24">
        <v>21</v>
      </c>
      <c r="O46" s="25">
        <f t="shared" ref="O46:O65" si="41">W82</f>
        <v>95.5</v>
      </c>
      <c r="P46" s="64">
        <f t="shared" ref="P46:P71" si="42">(L46+M46+N46)-O46</f>
        <v>320.49</v>
      </c>
      <c r="Q46" s="26">
        <v>95.5</v>
      </c>
      <c r="R46" s="26">
        <f>42.6+92.64</f>
        <v>135.24</v>
      </c>
      <c r="S46" s="27">
        <v>156.5</v>
      </c>
      <c r="T46" s="25">
        <f t="shared" ref="T46:T65" si="43">AE82</f>
        <v>54</v>
      </c>
      <c r="U46" s="65">
        <f t="shared" ref="U46:U71" si="44">(Q46+R46+S46)-T46</f>
        <v>333.24</v>
      </c>
      <c r="V46" s="25">
        <v>54</v>
      </c>
      <c r="W46" s="21">
        <v>180</v>
      </c>
      <c r="X46" s="24">
        <v>129.5</v>
      </c>
      <c r="Y46" s="25">
        <f t="shared" ref="Y46:Y65" si="45">AM82</f>
        <v>48.5</v>
      </c>
      <c r="Z46" s="65">
        <f t="shared" ref="Z46:Z71" si="46">(V46+W46+X46)-Y46</f>
        <v>315</v>
      </c>
      <c r="AA46" s="21">
        <v>48.5</v>
      </c>
      <c r="AB46" s="26">
        <v>390</v>
      </c>
      <c r="AC46" s="27">
        <v>60.5</v>
      </c>
      <c r="AD46" s="25">
        <f t="shared" ref="AD46:AD65" si="47">AU82</f>
        <v>94.5</v>
      </c>
      <c r="AE46" s="64">
        <f t="shared" si="25"/>
        <v>404.5</v>
      </c>
      <c r="AF46" s="21">
        <v>94.5</v>
      </c>
      <c r="AG46" s="26">
        <f>135+345</f>
        <v>480</v>
      </c>
      <c r="AH46" s="27">
        <v>23</v>
      </c>
      <c r="AI46" s="25">
        <f t="shared" ref="AI46:AI65" si="48">BC82</f>
        <v>66.5</v>
      </c>
      <c r="AJ46" s="64">
        <f t="shared" si="27"/>
        <v>531</v>
      </c>
      <c r="AK46" s="26">
        <v>66.5</v>
      </c>
      <c r="AL46" s="26">
        <f>81+128.04</f>
        <v>209.04</v>
      </c>
      <c r="AM46" s="27">
        <v>44</v>
      </c>
      <c r="AN46" s="25">
        <f t="shared" ref="AN46:AN65" si="49">BK82</f>
        <v>104</v>
      </c>
      <c r="AO46" s="64">
        <f t="shared" si="29"/>
        <v>215.53999999999996</v>
      </c>
      <c r="AP46" s="21">
        <v>104</v>
      </c>
      <c r="AQ46" s="26">
        <v>150</v>
      </c>
      <c r="AR46" s="27">
        <v>56.5</v>
      </c>
      <c r="AS46" s="25">
        <f t="shared" ref="AS46:AS65" si="50">BS82</f>
        <v>76.5</v>
      </c>
      <c r="AT46" s="64">
        <f t="shared" si="31"/>
        <v>234</v>
      </c>
      <c r="AU46" s="21">
        <v>76.5</v>
      </c>
      <c r="AV46" s="26">
        <v>180</v>
      </c>
      <c r="AW46" s="27">
        <v>286.5</v>
      </c>
      <c r="AX46" s="97">
        <f t="shared" ref="AX46:AX65" si="51">CA82</f>
        <v>265</v>
      </c>
      <c r="AY46" s="64">
        <f t="shared" si="33"/>
        <v>278</v>
      </c>
      <c r="AZ46" s="131">
        <v>265</v>
      </c>
      <c r="BA46" s="26">
        <v>180</v>
      </c>
      <c r="BB46" s="27">
        <v>53.5</v>
      </c>
      <c r="BC46" s="25">
        <f t="shared" ref="BC46:BC65" si="52">CI82</f>
        <v>257</v>
      </c>
      <c r="BD46" s="64">
        <f t="shared" si="35"/>
        <v>241.5</v>
      </c>
      <c r="BE46" s="26">
        <v>257</v>
      </c>
      <c r="BF46" s="26">
        <f>370.62+105</f>
        <v>475.62</v>
      </c>
      <c r="BG46" s="27">
        <v>49.5</v>
      </c>
      <c r="BH46" s="25">
        <f t="shared" ref="BH46:BH65" si="53">CQ82</f>
        <v>217</v>
      </c>
      <c r="BI46" s="64">
        <f t="shared" si="37"/>
        <v>565.12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241.28</v>
      </c>
      <c r="D47" s="22">
        <v>0</v>
      </c>
      <c r="E47" s="23">
        <f t="shared" si="38"/>
        <v>0</v>
      </c>
      <c r="F47" s="64">
        <f t="shared" si="39"/>
        <v>241.28</v>
      </c>
      <c r="G47" s="23">
        <v>0</v>
      </c>
      <c r="H47" s="21"/>
      <c r="I47" s="22">
        <v>0</v>
      </c>
      <c r="J47" s="23">
        <f t="shared" si="40"/>
        <v>0</v>
      </c>
      <c r="K47" s="64">
        <f t="shared" si="20"/>
        <v>0</v>
      </c>
      <c r="L47" s="21">
        <v>0</v>
      </c>
      <c r="M47" s="21"/>
      <c r="N47" s="24">
        <v>0</v>
      </c>
      <c r="O47" s="25">
        <f t="shared" si="41"/>
        <v>0</v>
      </c>
      <c r="P47" s="64">
        <f t="shared" si="42"/>
        <v>0</v>
      </c>
      <c r="Q47" s="26">
        <v>0</v>
      </c>
      <c r="R47" s="26">
        <v>157.74</v>
      </c>
      <c r="S47" s="27">
        <v>0</v>
      </c>
      <c r="T47" s="25">
        <f t="shared" si="43"/>
        <v>0</v>
      </c>
      <c r="U47" s="65">
        <f t="shared" si="44"/>
        <v>157.74</v>
      </c>
      <c r="V47" s="25">
        <v>0</v>
      </c>
      <c r="W47" s="21">
        <v>140.39999999999998</v>
      </c>
      <c r="X47" s="24">
        <v>0</v>
      </c>
      <c r="Y47" s="25">
        <f t="shared" si="45"/>
        <v>0</v>
      </c>
      <c r="Z47" s="65">
        <f t="shared" si="46"/>
        <v>140.39999999999998</v>
      </c>
      <c r="AA47" s="21">
        <v>0</v>
      </c>
      <c r="AB47" s="26">
        <v>45.44</v>
      </c>
      <c r="AC47" s="27">
        <v>0</v>
      </c>
      <c r="AD47" s="25">
        <f t="shared" si="47"/>
        <v>0</v>
      </c>
      <c r="AE47" s="64">
        <f t="shared" si="25"/>
        <v>45.44</v>
      </c>
      <c r="AF47" s="21">
        <v>0</v>
      </c>
      <c r="AG47" s="26">
        <v>41.010000000000005</v>
      </c>
      <c r="AH47" s="27">
        <v>0</v>
      </c>
      <c r="AI47" s="25">
        <f t="shared" si="48"/>
        <v>0</v>
      </c>
      <c r="AJ47" s="64">
        <f t="shared" si="27"/>
        <v>41.010000000000005</v>
      </c>
      <c r="AK47" s="26">
        <v>0</v>
      </c>
      <c r="AL47" s="26"/>
      <c r="AM47" s="27">
        <v>0</v>
      </c>
      <c r="AN47" s="25">
        <f t="shared" si="49"/>
        <v>0</v>
      </c>
      <c r="AO47" s="64">
        <f t="shared" si="29"/>
        <v>0</v>
      </c>
      <c r="AP47" s="21">
        <v>0</v>
      </c>
      <c r="AQ47" s="26">
        <v>118.08</v>
      </c>
      <c r="AR47" s="27">
        <v>0</v>
      </c>
      <c r="AS47" s="25">
        <f t="shared" si="50"/>
        <v>44.25</v>
      </c>
      <c r="AT47" s="64">
        <f t="shared" si="31"/>
        <v>73.83</v>
      </c>
      <c r="AU47" s="21">
        <v>44.25</v>
      </c>
      <c r="AV47" s="26">
        <f>13.75+76.32</f>
        <v>90.07</v>
      </c>
      <c r="AW47" s="27">
        <v>0</v>
      </c>
      <c r="AX47" s="97">
        <f t="shared" si="51"/>
        <v>0</v>
      </c>
      <c r="AY47" s="64">
        <f t="shared" si="33"/>
        <v>134.32</v>
      </c>
      <c r="AZ47" s="131">
        <v>0</v>
      </c>
      <c r="BA47" s="26">
        <v>5</v>
      </c>
      <c r="BB47" s="27">
        <v>0</v>
      </c>
      <c r="BC47" s="25">
        <f t="shared" si="52"/>
        <v>0</v>
      </c>
      <c r="BD47" s="64">
        <f t="shared" si="35"/>
        <v>5</v>
      </c>
      <c r="BE47" s="26">
        <v>0</v>
      </c>
      <c r="BF47" s="26"/>
      <c r="BG47" s="27">
        <v>0</v>
      </c>
      <c r="BH47" s="25">
        <f t="shared" si="53"/>
        <v>0</v>
      </c>
      <c r="BI47" s="64">
        <f t="shared" si="37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14" t="s">
        <v>111</v>
      </c>
      <c r="B48" s="21">
        <v>0</v>
      </c>
      <c r="C48" s="21">
        <v>0</v>
      </c>
      <c r="D48" s="22">
        <v>11</v>
      </c>
      <c r="E48" s="23">
        <f t="shared" si="38"/>
        <v>0</v>
      </c>
      <c r="F48" s="64">
        <f t="shared" si="39"/>
        <v>11</v>
      </c>
      <c r="G48" s="23">
        <v>0</v>
      </c>
      <c r="H48" s="21"/>
      <c r="I48" s="22">
        <v>48</v>
      </c>
      <c r="J48" s="23">
        <f t="shared" si="40"/>
        <v>0</v>
      </c>
      <c r="K48" s="64">
        <f t="shared" si="20"/>
        <v>48</v>
      </c>
      <c r="L48" s="21">
        <v>0</v>
      </c>
      <c r="M48" s="21"/>
      <c r="N48" s="24">
        <v>0</v>
      </c>
      <c r="O48" s="25">
        <f t="shared" si="41"/>
        <v>0</v>
      </c>
      <c r="P48" s="64">
        <f t="shared" si="42"/>
        <v>0</v>
      </c>
      <c r="Q48" s="26">
        <v>0</v>
      </c>
      <c r="R48" s="26"/>
      <c r="S48" s="27">
        <v>0</v>
      </c>
      <c r="T48" s="25">
        <f t="shared" si="43"/>
        <v>0</v>
      </c>
      <c r="U48" s="65">
        <f t="shared" si="44"/>
        <v>0</v>
      </c>
      <c r="V48" s="25">
        <v>0</v>
      </c>
      <c r="W48" s="21"/>
      <c r="X48" s="24">
        <v>0</v>
      </c>
      <c r="Y48" s="25">
        <f t="shared" si="45"/>
        <v>0</v>
      </c>
      <c r="Z48" s="65">
        <f t="shared" si="46"/>
        <v>0</v>
      </c>
      <c r="AA48" s="21">
        <v>0</v>
      </c>
      <c r="AB48" s="26">
        <v>9</v>
      </c>
      <c r="AC48" s="27">
        <v>0</v>
      </c>
      <c r="AD48" s="25">
        <f t="shared" si="47"/>
        <v>0</v>
      </c>
      <c r="AE48" s="64">
        <f t="shared" si="25"/>
        <v>9</v>
      </c>
      <c r="AF48" s="21">
        <v>0</v>
      </c>
      <c r="AG48" s="26"/>
      <c r="AH48" s="27">
        <v>0</v>
      </c>
      <c r="AI48" s="25">
        <f t="shared" si="48"/>
        <v>0</v>
      </c>
      <c r="AJ48" s="64">
        <f t="shared" si="27"/>
        <v>0</v>
      </c>
      <c r="AK48" s="26">
        <v>0</v>
      </c>
      <c r="AL48" s="26"/>
      <c r="AM48" s="27">
        <v>52</v>
      </c>
      <c r="AN48" s="25">
        <f t="shared" si="49"/>
        <v>0</v>
      </c>
      <c r="AO48" s="64">
        <f t="shared" si="29"/>
        <v>52</v>
      </c>
      <c r="AP48" s="21">
        <v>0</v>
      </c>
      <c r="AQ48" s="26"/>
      <c r="AR48" s="27">
        <v>15</v>
      </c>
      <c r="AS48" s="25">
        <f t="shared" si="50"/>
        <v>0</v>
      </c>
      <c r="AT48" s="64">
        <f t="shared" si="31"/>
        <v>15</v>
      </c>
      <c r="AU48" s="21">
        <v>0</v>
      </c>
      <c r="AV48" s="26"/>
      <c r="AW48" s="27">
        <v>0</v>
      </c>
      <c r="AX48" s="97">
        <f t="shared" si="51"/>
        <v>0</v>
      </c>
      <c r="AY48" s="64">
        <f t="shared" si="33"/>
        <v>0</v>
      </c>
      <c r="AZ48" s="131">
        <v>0</v>
      </c>
      <c r="BA48" s="26"/>
      <c r="BB48" s="27">
        <v>0</v>
      </c>
      <c r="BC48" s="25">
        <f t="shared" si="52"/>
        <v>0</v>
      </c>
      <c r="BD48" s="64">
        <f t="shared" si="35"/>
        <v>0</v>
      </c>
      <c r="BE48" s="26">
        <v>0</v>
      </c>
      <c r="BF48" s="26"/>
      <c r="BG48" s="27">
        <v>32</v>
      </c>
      <c r="BH48" s="25">
        <f t="shared" si="53"/>
        <v>0</v>
      </c>
      <c r="BI48" s="64">
        <f t="shared" si="37"/>
        <v>32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266</v>
      </c>
      <c r="C49" s="26">
        <v>150</v>
      </c>
      <c r="D49" s="22">
        <v>1</v>
      </c>
      <c r="E49" s="23">
        <f t="shared" si="38"/>
        <v>214</v>
      </c>
      <c r="F49" s="64">
        <f t="shared" si="39"/>
        <v>203</v>
      </c>
      <c r="G49" s="23">
        <v>214</v>
      </c>
      <c r="H49" s="26">
        <v>150</v>
      </c>
      <c r="I49" s="22">
        <v>13</v>
      </c>
      <c r="J49" s="23">
        <f t="shared" si="40"/>
        <v>65</v>
      </c>
      <c r="K49" s="64">
        <f t="shared" si="20"/>
        <v>312</v>
      </c>
      <c r="L49" s="21">
        <v>65</v>
      </c>
      <c r="M49" s="21">
        <v>170</v>
      </c>
      <c r="N49" s="24">
        <v>61</v>
      </c>
      <c r="O49" s="25">
        <f t="shared" si="41"/>
        <v>166</v>
      </c>
      <c r="P49" s="64">
        <f t="shared" si="42"/>
        <v>130</v>
      </c>
      <c r="Q49" s="26">
        <v>166</v>
      </c>
      <c r="R49" s="26">
        <v>180</v>
      </c>
      <c r="S49" s="27">
        <v>48</v>
      </c>
      <c r="T49" s="25">
        <f t="shared" si="43"/>
        <v>42</v>
      </c>
      <c r="U49" s="65">
        <f t="shared" si="44"/>
        <v>352</v>
      </c>
      <c r="V49" s="25">
        <v>42</v>
      </c>
      <c r="W49" s="26">
        <v>180</v>
      </c>
      <c r="X49" s="24">
        <v>77</v>
      </c>
      <c r="Y49" s="25">
        <f t="shared" si="45"/>
        <v>76</v>
      </c>
      <c r="Z49" s="65">
        <f t="shared" si="46"/>
        <v>223</v>
      </c>
      <c r="AA49" s="21">
        <v>76</v>
      </c>
      <c r="AB49" s="26">
        <v>240</v>
      </c>
      <c r="AC49" s="27">
        <v>45</v>
      </c>
      <c r="AD49" s="25">
        <f t="shared" si="47"/>
        <v>154</v>
      </c>
      <c r="AE49" s="64">
        <f t="shared" si="25"/>
        <v>207</v>
      </c>
      <c r="AF49" s="21">
        <v>154</v>
      </c>
      <c r="AG49" s="26">
        <v>240</v>
      </c>
      <c r="AH49" s="27">
        <v>5</v>
      </c>
      <c r="AI49" s="25">
        <f t="shared" si="48"/>
        <v>225</v>
      </c>
      <c r="AJ49" s="64">
        <f t="shared" si="27"/>
        <v>174</v>
      </c>
      <c r="AK49" s="26">
        <v>225</v>
      </c>
      <c r="AL49" s="26">
        <v>120</v>
      </c>
      <c r="AM49" s="27">
        <v>13</v>
      </c>
      <c r="AN49" s="25">
        <f t="shared" si="49"/>
        <v>159</v>
      </c>
      <c r="AO49" s="64">
        <f t="shared" si="29"/>
        <v>199</v>
      </c>
      <c r="AP49" s="21">
        <v>159</v>
      </c>
      <c r="AQ49" s="26">
        <v>180</v>
      </c>
      <c r="AR49" s="27">
        <v>5</v>
      </c>
      <c r="AS49" s="25">
        <f t="shared" si="50"/>
        <v>92</v>
      </c>
      <c r="AT49" s="64">
        <f t="shared" si="31"/>
        <v>252</v>
      </c>
      <c r="AU49" s="21">
        <v>92</v>
      </c>
      <c r="AV49" s="26">
        <v>180</v>
      </c>
      <c r="AW49" s="27">
        <v>57</v>
      </c>
      <c r="AX49" s="97">
        <f t="shared" si="51"/>
        <v>96</v>
      </c>
      <c r="AY49" s="64">
        <f t="shared" si="33"/>
        <v>233</v>
      </c>
      <c r="AZ49" s="131">
        <v>96</v>
      </c>
      <c r="BA49" s="26">
        <v>180</v>
      </c>
      <c r="BB49" s="27">
        <v>15</v>
      </c>
      <c r="BC49" s="25">
        <f t="shared" si="52"/>
        <v>113</v>
      </c>
      <c r="BD49" s="64">
        <f t="shared" si="35"/>
        <v>178</v>
      </c>
      <c r="BE49" s="26">
        <v>113</v>
      </c>
      <c r="BF49" s="26">
        <f>70.21+60</f>
        <v>130.20999999999998</v>
      </c>
      <c r="BG49" s="27">
        <v>5</v>
      </c>
      <c r="BH49" s="25">
        <f t="shared" si="53"/>
        <v>108</v>
      </c>
      <c r="BI49" s="64">
        <f t="shared" si="37"/>
        <v>140.20999999999998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69</v>
      </c>
      <c r="C50" s="26"/>
      <c r="D50" s="22">
        <v>12</v>
      </c>
      <c r="E50" s="23">
        <f t="shared" si="38"/>
        <v>0</v>
      </c>
      <c r="F50" s="64">
        <f t="shared" si="39"/>
        <v>81</v>
      </c>
      <c r="G50" s="23">
        <v>0</v>
      </c>
      <c r="H50" s="26"/>
      <c r="I50" s="22">
        <v>90</v>
      </c>
      <c r="J50" s="23">
        <f t="shared" si="40"/>
        <v>81</v>
      </c>
      <c r="K50" s="64">
        <f t="shared" si="20"/>
        <v>9</v>
      </c>
      <c r="L50" s="21">
        <v>81</v>
      </c>
      <c r="M50" s="21"/>
      <c r="N50" s="24">
        <v>45</v>
      </c>
      <c r="O50" s="25">
        <f t="shared" si="41"/>
        <v>42</v>
      </c>
      <c r="P50" s="64">
        <f t="shared" si="42"/>
        <v>84</v>
      </c>
      <c r="Q50" s="26">
        <v>42</v>
      </c>
      <c r="R50" s="26">
        <v>40</v>
      </c>
      <c r="S50" s="27">
        <v>48</v>
      </c>
      <c r="T50" s="25">
        <f t="shared" si="43"/>
        <v>118</v>
      </c>
      <c r="U50" s="65">
        <f t="shared" si="44"/>
        <v>12</v>
      </c>
      <c r="V50" s="25">
        <v>118</v>
      </c>
      <c r="W50" s="26">
        <v>120</v>
      </c>
      <c r="X50" s="24">
        <v>58</v>
      </c>
      <c r="Y50" s="25">
        <f t="shared" si="45"/>
        <v>89</v>
      </c>
      <c r="Z50" s="65">
        <f t="shared" si="46"/>
        <v>207</v>
      </c>
      <c r="AA50" s="21">
        <v>89</v>
      </c>
      <c r="AB50" s="26">
        <v>160</v>
      </c>
      <c r="AC50" s="27">
        <v>61</v>
      </c>
      <c r="AD50" s="25">
        <f t="shared" si="47"/>
        <v>150</v>
      </c>
      <c r="AE50" s="64">
        <f t="shared" si="25"/>
        <v>160</v>
      </c>
      <c r="AF50" s="21">
        <v>150</v>
      </c>
      <c r="AG50" s="26">
        <v>160</v>
      </c>
      <c r="AH50" s="27">
        <v>11</v>
      </c>
      <c r="AI50" s="25">
        <f t="shared" si="48"/>
        <v>188</v>
      </c>
      <c r="AJ50" s="64">
        <f t="shared" si="27"/>
        <v>133</v>
      </c>
      <c r="AK50" s="26">
        <v>188</v>
      </c>
      <c r="AL50" s="26">
        <v>80</v>
      </c>
      <c r="AM50" s="27">
        <v>9</v>
      </c>
      <c r="AN50" s="25">
        <f t="shared" si="49"/>
        <v>74</v>
      </c>
      <c r="AO50" s="64">
        <f t="shared" si="29"/>
        <v>203</v>
      </c>
      <c r="AP50" s="21">
        <v>74</v>
      </c>
      <c r="AQ50" s="26">
        <v>120</v>
      </c>
      <c r="AR50" s="27">
        <v>20</v>
      </c>
      <c r="AS50" s="25">
        <f t="shared" si="50"/>
        <v>86</v>
      </c>
      <c r="AT50" s="64">
        <f t="shared" si="31"/>
        <v>128</v>
      </c>
      <c r="AU50" s="21">
        <v>86</v>
      </c>
      <c r="AV50" s="26">
        <v>120</v>
      </c>
      <c r="AW50" s="27">
        <v>52</v>
      </c>
      <c r="AX50" s="97">
        <f t="shared" si="51"/>
        <v>36</v>
      </c>
      <c r="AY50" s="64">
        <f t="shared" si="33"/>
        <v>222</v>
      </c>
      <c r="AZ50" s="131">
        <v>36</v>
      </c>
      <c r="BA50" s="26">
        <v>80</v>
      </c>
      <c r="BB50" s="27">
        <v>18</v>
      </c>
      <c r="BC50" s="25">
        <f t="shared" si="52"/>
        <v>59</v>
      </c>
      <c r="BD50" s="64">
        <f t="shared" si="35"/>
        <v>75</v>
      </c>
      <c r="BE50" s="26">
        <v>59</v>
      </c>
      <c r="BF50" s="26">
        <v>45.48</v>
      </c>
      <c r="BG50" s="27">
        <v>17</v>
      </c>
      <c r="BH50" s="25">
        <f t="shared" si="53"/>
        <v>117</v>
      </c>
      <c r="BI50" s="64">
        <f t="shared" si="37"/>
        <v>4.4799999999999898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90.800000000000011</v>
      </c>
      <c r="C51" s="26">
        <v>70</v>
      </c>
      <c r="D51" s="22">
        <v>7.6999999999999993</v>
      </c>
      <c r="E51" s="23">
        <f t="shared" si="38"/>
        <v>150.4</v>
      </c>
      <c r="F51" s="64">
        <f t="shared" si="39"/>
        <v>18.099999999999994</v>
      </c>
      <c r="G51" s="23">
        <v>150.4</v>
      </c>
      <c r="H51" s="26">
        <v>39.950000000000003</v>
      </c>
      <c r="I51" s="22">
        <v>12</v>
      </c>
      <c r="J51" s="23">
        <f t="shared" si="40"/>
        <v>54.400000000000006</v>
      </c>
      <c r="K51" s="64">
        <f t="shared" si="20"/>
        <v>147.95000000000002</v>
      </c>
      <c r="L51" s="21">
        <v>54.400000000000006</v>
      </c>
      <c r="M51" s="21"/>
      <c r="N51" s="24">
        <v>65.2</v>
      </c>
      <c r="O51" s="25">
        <f t="shared" si="41"/>
        <v>112.8</v>
      </c>
      <c r="P51" s="64">
        <f t="shared" si="42"/>
        <v>6.8000000000000114</v>
      </c>
      <c r="Q51" s="26">
        <v>112.8</v>
      </c>
      <c r="R51" s="26"/>
      <c r="S51" s="27">
        <v>36.800000000000004</v>
      </c>
      <c r="T51" s="25">
        <f t="shared" si="43"/>
        <v>36.400000000000006</v>
      </c>
      <c r="U51" s="65">
        <f t="shared" si="44"/>
        <v>113.19999999999999</v>
      </c>
      <c r="V51" s="25">
        <v>36.400000000000006</v>
      </c>
      <c r="W51" s="26"/>
      <c r="X51" s="24">
        <v>29.6</v>
      </c>
      <c r="Y51" s="25">
        <f t="shared" si="45"/>
        <v>17.2</v>
      </c>
      <c r="Z51" s="65">
        <f t="shared" si="46"/>
        <v>48.8</v>
      </c>
      <c r="AA51" s="21">
        <v>17.2</v>
      </c>
      <c r="AB51" s="26">
        <v>96</v>
      </c>
      <c r="AC51" s="27">
        <v>43.6</v>
      </c>
      <c r="AD51" s="25">
        <f t="shared" si="47"/>
        <v>72</v>
      </c>
      <c r="AE51" s="64">
        <f t="shared" si="25"/>
        <v>84.800000000000011</v>
      </c>
      <c r="AF51" s="21">
        <v>72</v>
      </c>
      <c r="AG51" s="26">
        <v>192</v>
      </c>
      <c r="AH51" s="27">
        <v>2.8000000000000003</v>
      </c>
      <c r="AI51" s="25">
        <f t="shared" si="48"/>
        <v>116.80000000000001</v>
      </c>
      <c r="AJ51" s="64">
        <f t="shared" si="27"/>
        <v>150</v>
      </c>
      <c r="AK51" s="26">
        <v>116.80000000000001</v>
      </c>
      <c r="AL51" s="26">
        <v>96</v>
      </c>
      <c r="AM51" s="27">
        <v>5.6000000000000005</v>
      </c>
      <c r="AN51" s="25">
        <f t="shared" si="49"/>
        <v>112.4</v>
      </c>
      <c r="AO51" s="64">
        <f t="shared" si="29"/>
        <v>106</v>
      </c>
      <c r="AP51" s="21">
        <v>112.4</v>
      </c>
      <c r="AQ51" s="26">
        <v>144</v>
      </c>
      <c r="AR51" s="27">
        <v>5.6000000000000005</v>
      </c>
      <c r="AS51" s="25">
        <f t="shared" si="50"/>
        <v>95.6</v>
      </c>
      <c r="AT51" s="64">
        <f t="shared" si="31"/>
        <v>166.4</v>
      </c>
      <c r="AU51" s="21">
        <v>95.6</v>
      </c>
      <c r="AV51" s="26">
        <v>144</v>
      </c>
      <c r="AW51" s="27">
        <v>26</v>
      </c>
      <c r="AX51" s="97">
        <f t="shared" si="51"/>
        <v>65.599999999999994</v>
      </c>
      <c r="AY51" s="64">
        <f t="shared" si="33"/>
        <v>200.00000000000003</v>
      </c>
      <c r="AZ51" s="131">
        <v>65.599999999999994</v>
      </c>
      <c r="BA51" s="26">
        <v>144</v>
      </c>
      <c r="BB51" s="27">
        <v>9.2000000000000011</v>
      </c>
      <c r="BC51" s="25">
        <f t="shared" si="52"/>
        <v>209.6</v>
      </c>
      <c r="BD51" s="64">
        <f t="shared" si="35"/>
        <v>9.1999999999999886</v>
      </c>
      <c r="BE51" s="26">
        <v>209.6</v>
      </c>
      <c r="BF51" s="26">
        <v>115.2</v>
      </c>
      <c r="BG51" s="27">
        <v>2.4000000000000004</v>
      </c>
      <c r="BH51" s="25">
        <f t="shared" si="53"/>
        <v>286.8</v>
      </c>
      <c r="BI51" s="64">
        <f t="shared" si="37"/>
        <v>40.399999999999977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45.5</v>
      </c>
      <c r="C52" s="26">
        <f>129.51+138.71-70</f>
        <v>198.22000000000003</v>
      </c>
      <c r="D52" s="22">
        <v>26.8</v>
      </c>
      <c r="E52" s="23">
        <f t="shared" si="38"/>
        <v>66.5</v>
      </c>
      <c r="F52" s="64">
        <f t="shared" si="39"/>
        <v>204.02000000000004</v>
      </c>
      <c r="G52" s="23">
        <v>66.5</v>
      </c>
      <c r="H52" s="26">
        <f>85.82+146.88</f>
        <v>232.7</v>
      </c>
      <c r="I52" s="22">
        <v>5.6</v>
      </c>
      <c r="J52" s="23">
        <f t="shared" si="40"/>
        <v>63.7</v>
      </c>
      <c r="K52" s="64">
        <f t="shared" si="20"/>
        <v>241.10000000000002</v>
      </c>
      <c r="L52" s="21">
        <v>63.7</v>
      </c>
      <c r="M52" s="21">
        <f>42.91+171.36</f>
        <v>214.27</v>
      </c>
      <c r="N52" s="24">
        <v>24.5</v>
      </c>
      <c r="O52" s="25">
        <f t="shared" si="41"/>
        <v>105</v>
      </c>
      <c r="P52" s="64">
        <f t="shared" si="42"/>
        <v>197.47000000000003</v>
      </c>
      <c r="Q52" s="26">
        <v>105</v>
      </c>
      <c r="R52" s="26">
        <v>171.35999999999999</v>
      </c>
      <c r="S52" s="27">
        <v>14.7</v>
      </c>
      <c r="T52" s="25">
        <f t="shared" si="43"/>
        <v>43.399999999999991</v>
      </c>
      <c r="U52" s="65">
        <f t="shared" si="44"/>
        <v>247.66000000000003</v>
      </c>
      <c r="V52" s="25">
        <v>43.399999999999991</v>
      </c>
      <c r="W52" s="26">
        <v>171.35999999999999</v>
      </c>
      <c r="X52" s="24">
        <v>8.3999999999999986</v>
      </c>
      <c r="Y52" s="25">
        <f t="shared" si="45"/>
        <v>27.299999999999997</v>
      </c>
      <c r="Z52" s="65">
        <f t="shared" si="46"/>
        <v>195.86</v>
      </c>
      <c r="AA52" s="21">
        <v>27.299999999999997</v>
      </c>
      <c r="AB52" s="26">
        <v>228.48</v>
      </c>
      <c r="AC52" s="27">
        <v>9.1</v>
      </c>
      <c r="AD52" s="25">
        <f t="shared" si="47"/>
        <v>42.699999999999996</v>
      </c>
      <c r="AE52" s="64">
        <f t="shared" si="25"/>
        <v>222.18</v>
      </c>
      <c r="AF52" s="21">
        <v>42.699999999999996</v>
      </c>
      <c r="AG52" s="26">
        <v>277.44</v>
      </c>
      <c r="AH52" s="27">
        <v>4.1999999999999993</v>
      </c>
      <c r="AI52" s="25">
        <f t="shared" si="48"/>
        <v>147.69999999999999</v>
      </c>
      <c r="AJ52" s="64">
        <f t="shared" si="27"/>
        <v>176.64</v>
      </c>
      <c r="AK52" s="26">
        <v>147.69999999999999</v>
      </c>
      <c r="AL52" s="26">
        <v>146.88</v>
      </c>
      <c r="AM52" s="27">
        <v>7.6999999999999993</v>
      </c>
      <c r="AN52" s="25">
        <f t="shared" si="49"/>
        <v>104.3</v>
      </c>
      <c r="AO52" s="64">
        <f t="shared" si="29"/>
        <v>197.97999999999996</v>
      </c>
      <c r="AP52" s="21">
        <v>104.3</v>
      </c>
      <c r="AQ52" s="26">
        <v>220.32</v>
      </c>
      <c r="AR52" s="27">
        <v>6.3</v>
      </c>
      <c r="AS52" s="25">
        <f t="shared" si="50"/>
        <v>109.19999999999999</v>
      </c>
      <c r="AT52" s="64">
        <f t="shared" si="31"/>
        <v>221.72000000000003</v>
      </c>
      <c r="AU52" s="21">
        <v>109.19999999999999</v>
      </c>
      <c r="AV52" s="26">
        <v>220.20000000000002</v>
      </c>
      <c r="AW52" s="27">
        <v>9.1</v>
      </c>
      <c r="AX52" s="97">
        <f t="shared" si="51"/>
        <v>95.199999999999989</v>
      </c>
      <c r="AY52" s="64">
        <f t="shared" si="33"/>
        <v>243.3</v>
      </c>
      <c r="AZ52" s="131">
        <v>95.199999999999989</v>
      </c>
      <c r="BA52" s="26">
        <v>293.76</v>
      </c>
      <c r="BB52" s="27">
        <v>6.3</v>
      </c>
      <c r="BC52" s="25">
        <f t="shared" si="52"/>
        <v>355.59999999999997</v>
      </c>
      <c r="BD52" s="64">
        <f t="shared" si="35"/>
        <v>39.660000000000025</v>
      </c>
      <c r="BE52" s="26">
        <v>355.59999999999997</v>
      </c>
      <c r="BF52" s="26">
        <f>442.31+195.84</f>
        <v>638.15</v>
      </c>
      <c r="BG52" s="27">
        <v>5.6</v>
      </c>
      <c r="BH52" s="25">
        <f t="shared" si="53"/>
        <v>335.99999999999994</v>
      </c>
      <c r="BI52" s="64">
        <f t="shared" si="37"/>
        <v>663.35000000000014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275.2</v>
      </c>
      <c r="C53" s="26">
        <f>84.76+172.8</f>
        <v>257.56</v>
      </c>
      <c r="D53" s="22">
        <v>0</v>
      </c>
      <c r="E53" s="23">
        <f t="shared" si="38"/>
        <v>404.8</v>
      </c>
      <c r="F53" s="64">
        <f t="shared" si="39"/>
        <v>127.95999999999998</v>
      </c>
      <c r="G53" s="23">
        <v>404.8</v>
      </c>
      <c r="H53" s="26">
        <f>85.16+57.6</f>
        <v>142.76</v>
      </c>
      <c r="I53" s="22">
        <v>24.400000000000002</v>
      </c>
      <c r="J53" s="23">
        <f t="shared" si="40"/>
        <v>123.60000000000001</v>
      </c>
      <c r="K53" s="64">
        <f t="shared" si="20"/>
        <v>448.3599999999999</v>
      </c>
      <c r="L53" s="21">
        <v>123.60000000000001</v>
      </c>
      <c r="M53" s="21">
        <v>127.82999999999998</v>
      </c>
      <c r="N53" s="24">
        <v>61.2</v>
      </c>
      <c r="O53" s="25">
        <f t="shared" si="41"/>
        <v>97.2</v>
      </c>
      <c r="P53" s="64">
        <f t="shared" si="42"/>
        <v>215.43</v>
      </c>
      <c r="Q53" s="26">
        <v>97.2</v>
      </c>
      <c r="R53" s="26">
        <v>42.73</v>
      </c>
      <c r="S53" s="27">
        <v>72.8</v>
      </c>
      <c r="T53" s="25">
        <f t="shared" si="43"/>
        <v>45.6</v>
      </c>
      <c r="U53" s="65">
        <f t="shared" si="44"/>
        <v>167.13000000000002</v>
      </c>
      <c r="V53" s="25">
        <v>45.6</v>
      </c>
      <c r="W53" s="26"/>
      <c r="X53" s="24">
        <v>67.2</v>
      </c>
      <c r="Y53" s="25">
        <f t="shared" si="45"/>
        <v>7.2</v>
      </c>
      <c r="Z53" s="65">
        <f t="shared" si="46"/>
        <v>105.60000000000001</v>
      </c>
      <c r="AA53" s="21">
        <v>7.2</v>
      </c>
      <c r="AB53" s="26">
        <v>163.19999999999999</v>
      </c>
      <c r="AC53" s="27">
        <v>84.800000000000011</v>
      </c>
      <c r="AD53" s="25">
        <f t="shared" si="47"/>
        <v>90.4</v>
      </c>
      <c r="AE53" s="64">
        <f t="shared" si="25"/>
        <v>164.79999999999998</v>
      </c>
      <c r="AF53" s="21">
        <v>90.4</v>
      </c>
      <c r="AG53" s="26">
        <v>614.4</v>
      </c>
      <c r="AH53" s="27">
        <v>12.8</v>
      </c>
      <c r="AI53" s="25">
        <f t="shared" si="48"/>
        <v>402.8</v>
      </c>
      <c r="AJ53" s="64">
        <f t="shared" si="27"/>
        <v>314.7999999999999</v>
      </c>
      <c r="AK53" s="26">
        <v>402.8</v>
      </c>
      <c r="AL53" s="26">
        <v>288</v>
      </c>
      <c r="AM53" s="27">
        <v>16</v>
      </c>
      <c r="AN53" s="25">
        <f t="shared" si="49"/>
        <v>422</v>
      </c>
      <c r="AO53" s="64">
        <f t="shared" si="29"/>
        <v>284.79999999999995</v>
      </c>
      <c r="AP53" s="21">
        <v>422</v>
      </c>
      <c r="AQ53" s="26">
        <v>105.6</v>
      </c>
      <c r="AR53" s="27">
        <v>4.4000000000000004</v>
      </c>
      <c r="AS53" s="25">
        <f t="shared" si="50"/>
        <v>145.20000000000002</v>
      </c>
      <c r="AT53" s="64">
        <f t="shared" si="31"/>
        <v>386.79999999999995</v>
      </c>
      <c r="AU53" s="21">
        <v>145.20000000000002</v>
      </c>
      <c r="AV53" s="26"/>
      <c r="AW53" s="27">
        <v>84.800000000000011</v>
      </c>
      <c r="AX53" s="97">
        <f t="shared" si="51"/>
        <v>22.400000000000002</v>
      </c>
      <c r="AY53" s="64">
        <f t="shared" si="33"/>
        <v>207.60000000000002</v>
      </c>
      <c r="AZ53" s="131">
        <v>22.400000000000002</v>
      </c>
      <c r="BA53" s="26"/>
      <c r="BB53" s="27">
        <v>16.8</v>
      </c>
      <c r="BC53" s="25">
        <f t="shared" si="52"/>
        <v>32.4</v>
      </c>
      <c r="BD53" s="64">
        <f t="shared" si="35"/>
        <v>6.8000000000000043</v>
      </c>
      <c r="BE53" s="26">
        <v>32.4</v>
      </c>
      <c r="BF53" s="26">
        <v>57</v>
      </c>
      <c r="BG53" s="27">
        <v>16.400000000000002</v>
      </c>
      <c r="BH53" s="25">
        <f t="shared" si="53"/>
        <v>90</v>
      </c>
      <c r="BI53" s="64">
        <f t="shared" si="37"/>
        <v>15.800000000000011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91</v>
      </c>
      <c r="B54" s="21">
        <v>0</v>
      </c>
      <c r="C54" s="21">
        <f>13.31+54.72</f>
        <v>68.03</v>
      </c>
      <c r="D54" s="22">
        <v>1.76</v>
      </c>
      <c r="E54" s="23">
        <f t="shared" si="38"/>
        <v>11.600000000000001</v>
      </c>
      <c r="F54" s="64">
        <f t="shared" si="39"/>
        <v>58.190000000000005</v>
      </c>
      <c r="G54" s="23">
        <v>11.600000000000001</v>
      </c>
      <c r="H54" s="21">
        <v>72.900000000000006</v>
      </c>
      <c r="I54" s="22">
        <v>0</v>
      </c>
      <c r="J54" s="23">
        <f t="shared" si="40"/>
        <v>29.200000000000003</v>
      </c>
      <c r="K54" s="64">
        <f t="shared" si="20"/>
        <v>55.3</v>
      </c>
      <c r="L54" s="21">
        <v>29.200000000000003</v>
      </c>
      <c r="M54" s="21">
        <f>26.38+82.08</f>
        <v>108.46</v>
      </c>
      <c r="N54" s="24">
        <v>0</v>
      </c>
      <c r="O54" s="25">
        <f t="shared" si="41"/>
        <v>3</v>
      </c>
      <c r="P54" s="64">
        <f t="shared" si="42"/>
        <v>134.66</v>
      </c>
      <c r="Q54" s="26">
        <v>3</v>
      </c>
      <c r="R54" s="26">
        <v>82.08</v>
      </c>
      <c r="S54" s="27">
        <v>0</v>
      </c>
      <c r="T54" s="25">
        <f t="shared" si="43"/>
        <v>0</v>
      </c>
      <c r="U54" s="65">
        <f t="shared" si="44"/>
        <v>85.08</v>
      </c>
      <c r="V54" s="25">
        <v>0</v>
      </c>
      <c r="W54" s="21">
        <v>37.510000000000005</v>
      </c>
      <c r="X54" s="24">
        <v>0</v>
      </c>
      <c r="Y54" s="25">
        <f t="shared" si="45"/>
        <v>0</v>
      </c>
      <c r="Z54" s="65">
        <f t="shared" si="46"/>
        <v>37.510000000000005</v>
      </c>
      <c r="AA54" s="21">
        <v>0</v>
      </c>
      <c r="AB54" s="26"/>
      <c r="AC54" s="27">
        <v>0</v>
      </c>
      <c r="AD54" s="25">
        <f t="shared" si="47"/>
        <v>0</v>
      </c>
      <c r="AE54" s="64">
        <f t="shared" si="25"/>
        <v>0</v>
      </c>
      <c r="AF54" s="21">
        <v>0</v>
      </c>
      <c r="AG54" s="26"/>
      <c r="AH54" s="27">
        <v>0</v>
      </c>
      <c r="AI54" s="25">
        <f t="shared" si="48"/>
        <v>0</v>
      </c>
      <c r="AJ54" s="64">
        <f t="shared" si="27"/>
        <v>0</v>
      </c>
      <c r="AK54" s="26">
        <v>0</v>
      </c>
      <c r="AL54" s="26">
        <v>8.66</v>
      </c>
      <c r="AM54" s="27">
        <v>0</v>
      </c>
      <c r="AN54" s="25">
        <f t="shared" si="49"/>
        <v>0</v>
      </c>
      <c r="AO54" s="64">
        <f t="shared" si="29"/>
        <v>8.66</v>
      </c>
      <c r="AP54" s="21">
        <v>0</v>
      </c>
      <c r="AQ54" s="26">
        <v>136.07999999999998</v>
      </c>
      <c r="AR54" s="27">
        <v>0</v>
      </c>
      <c r="AS54" s="25">
        <f t="shared" si="50"/>
        <v>19.200000000000003</v>
      </c>
      <c r="AT54" s="64">
        <f t="shared" si="31"/>
        <v>116.87999999999998</v>
      </c>
      <c r="AU54" s="21">
        <v>19.200000000000003</v>
      </c>
      <c r="AV54" s="26">
        <f>6.73+136.08</f>
        <v>142.81</v>
      </c>
      <c r="AW54" s="27">
        <v>0</v>
      </c>
      <c r="AX54" s="97">
        <f t="shared" si="51"/>
        <v>12</v>
      </c>
      <c r="AY54" s="64">
        <f t="shared" si="33"/>
        <v>150.01</v>
      </c>
      <c r="AZ54" s="131">
        <v>12</v>
      </c>
      <c r="BA54" s="26">
        <f>38.57+136.08</f>
        <v>174.65</v>
      </c>
      <c r="BB54" s="27">
        <v>0</v>
      </c>
      <c r="BC54" s="25">
        <f t="shared" si="52"/>
        <v>12.4</v>
      </c>
      <c r="BD54" s="64">
        <f t="shared" si="35"/>
        <v>174.25</v>
      </c>
      <c r="BE54" s="26">
        <v>12.4</v>
      </c>
      <c r="BF54" s="26">
        <f>312.175+90.73</f>
        <v>402.90500000000003</v>
      </c>
      <c r="BG54" s="27">
        <v>0</v>
      </c>
      <c r="BH54" s="25">
        <f t="shared" si="53"/>
        <v>7.6000000000000005</v>
      </c>
      <c r="BI54" s="64">
        <f t="shared" si="37"/>
        <v>407.70499999999998</v>
      </c>
      <c r="BJ54" s="20" t="s">
        <v>91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102.72</v>
      </c>
      <c r="C55" s="21">
        <v>115.19999999999999</v>
      </c>
      <c r="D55" s="22">
        <v>6.4799999999999995</v>
      </c>
      <c r="E55" s="23">
        <f t="shared" si="38"/>
        <v>97.28</v>
      </c>
      <c r="F55" s="64">
        <f t="shared" si="39"/>
        <v>127.11999999999998</v>
      </c>
      <c r="G55" s="23">
        <v>97.28</v>
      </c>
      <c r="H55" s="21">
        <v>115.2</v>
      </c>
      <c r="I55" s="22">
        <v>0.96</v>
      </c>
      <c r="J55" s="23">
        <f t="shared" si="40"/>
        <v>103.52000000000001</v>
      </c>
      <c r="K55" s="64">
        <f t="shared" si="20"/>
        <v>109.92000000000002</v>
      </c>
      <c r="L55" s="21">
        <v>103.52000000000001</v>
      </c>
      <c r="M55" s="21">
        <v>115.19999999999999</v>
      </c>
      <c r="N55" s="24">
        <v>5.28</v>
      </c>
      <c r="O55" s="25">
        <f t="shared" si="41"/>
        <v>249.28</v>
      </c>
      <c r="P55" s="64">
        <f t="shared" si="42"/>
        <v>-25.28</v>
      </c>
      <c r="Q55" s="26">
        <v>249.28</v>
      </c>
      <c r="R55" s="26"/>
      <c r="S55" s="27">
        <v>1.6</v>
      </c>
      <c r="T55" s="25">
        <f t="shared" si="43"/>
        <v>151.91999999999999</v>
      </c>
      <c r="U55" s="65">
        <f t="shared" si="44"/>
        <v>98.960000000000008</v>
      </c>
      <c r="V55" s="25">
        <v>151.91999999999999</v>
      </c>
      <c r="W55" s="21"/>
      <c r="X55" s="24">
        <v>2.2400000000000002</v>
      </c>
      <c r="Y55" s="25">
        <f t="shared" si="45"/>
        <v>52.96</v>
      </c>
      <c r="Z55" s="65">
        <f t="shared" si="46"/>
        <v>101.19999999999999</v>
      </c>
      <c r="AA55" s="21">
        <v>52.96</v>
      </c>
      <c r="AB55" s="26"/>
      <c r="AC55" s="27">
        <v>3.2</v>
      </c>
      <c r="AD55" s="25">
        <f>AU91</f>
        <v>55.68</v>
      </c>
      <c r="AE55" s="64">
        <f t="shared" si="25"/>
        <v>0.48000000000000398</v>
      </c>
      <c r="AF55" s="21">
        <v>55.68</v>
      </c>
      <c r="AG55" s="26"/>
      <c r="AH55" s="27">
        <v>0.32</v>
      </c>
      <c r="AI55" s="25">
        <f t="shared" si="48"/>
        <v>0</v>
      </c>
      <c r="AJ55" s="64">
        <f t="shared" si="27"/>
        <v>56</v>
      </c>
      <c r="AK55" s="26">
        <v>0</v>
      </c>
      <c r="AL55" s="26"/>
      <c r="AM55" s="27">
        <v>0</v>
      </c>
      <c r="AN55" s="25">
        <f t="shared" si="49"/>
        <v>0</v>
      </c>
      <c r="AO55" s="64">
        <f t="shared" si="29"/>
        <v>0</v>
      </c>
      <c r="AP55" s="21">
        <v>0</v>
      </c>
      <c r="AQ55" s="26"/>
      <c r="AR55" s="27">
        <v>0</v>
      </c>
      <c r="AS55" s="25">
        <f t="shared" si="50"/>
        <v>0</v>
      </c>
      <c r="AT55" s="64">
        <f t="shared" si="31"/>
        <v>0</v>
      </c>
      <c r="AU55" s="21">
        <v>0</v>
      </c>
      <c r="AV55" s="26">
        <v>7.68</v>
      </c>
      <c r="AW55" s="27">
        <v>2.2400000000000002</v>
      </c>
      <c r="AX55" s="97">
        <f t="shared" si="51"/>
        <v>0.96</v>
      </c>
      <c r="AY55" s="64">
        <f t="shared" si="33"/>
        <v>8.9600000000000009</v>
      </c>
      <c r="AZ55" s="131">
        <v>0.96</v>
      </c>
      <c r="BA55" s="26"/>
      <c r="BB55" s="27">
        <v>0.64</v>
      </c>
      <c r="BC55" s="25">
        <f t="shared" si="52"/>
        <v>0.64</v>
      </c>
      <c r="BD55" s="64">
        <f t="shared" si="35"/>
        <v>0.96000000000000008</v>
      </c>
      <c r="BE55" s="26">
        <v>0.64</v>
      </c>
      <c r="BF55" s="26">
        <v>190.92</v>
      </c>
      <c r="BG55" s="27">
        <v>0.32</v>
      </c>
      <c r="BH55" s="25">
        <f t="shared" si="53"/>
        <v>118.8</v>
      </c>
      <c r="BI55" s="64">
        <f t="shared" si="37"/>
        <v>73.07999999999997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12.48</v>
      </c>
      <c r="C56" s="26"/>
      <c r="D56" s="22">
        <v>2.8000000000000003</v>
      </c>
      <c r="E56" s="23">
        <f t="shared" si="38"/>
        <v>165.71999999999997</v>
      </c>
      <c r="F56" s="64">
        <f t="shared" si="39"/>
        <v>-150.43999999999997</v>
      </c>
      <c r="G56" s="23">
        <v>165.71999999999997</v>
      </c>
      <c r="H56" s="26"/>
      <c r="I56" s="129">
        <v>6.6</v>
      </c>
      <c r="J56" s="23">
        <f t="shared" si="40"/>
        <v>178.68</v>
      </c>
      <c r="K56" s="64">
        <f t="shared" si="20"/>
        <v>-6.3600000000000421</v>
      </c>
      <c r="L56" s="21">
        <v>178.68</v>
      </c>
      <c r="M56" s="21"/>
      <c r="N56" s="24">
        <v>20.88</v>
      </c>
      <c r="O56" s="25">
        <f t="shared" si="41"/>
        <v>230.03999999999996</v>
      </c>
      <c r="P56" s="64">
        <f t="shared" si="42"/>
        <v>-30.479999999999961</v>
      </c>
      <c r="Q56" s="26">
        <v>230.03999999999996</v>
      </c>
      <c r="R56" s="26">
        <v>76.8</v>
      </c>
      <c r="S56" s="27">
        <v>15.24</v>
      </c>
      <c r="T56" s="25">
        <f>AE92</f>
        <v>300.72000000000003</v>
      </c>
      <c r="U56" s="65">
        <f t="shared" si="44"/>
        <v>21.359999999999957</v>
      </c>
      <c r="V56" s="25">
        <v>300.72000000000003</v>
      </c>
      <c r="W56" s="26"/>
      <c r="X56" s="24">
        <v>9.84</v>
      </c>
      <c r="Y56" s="25">
        <f t="shared" si="45"/>
        <v>255</v>
      </c>
      <c r="Z56" s="65">
        <f t="shared" si="46"/>
        <v>55.56</v>
      </c>
      <c r="AA56" s="21">
        <v>255</v>
      </c>
      <c r="AB56" s="26"/>
      <c r="AC56" s="27">
        <v>13.559999999999999</v>
      </c>
      <c r="AD56" s="25">
        <f t="shared" si="47"/>
        <v>94.08</v>
      </c>
      <c r="AE56" s="64">
        <f t="shared" si="25"/>
        <v>174.48000000000002</v>
      </c>
      <c r="AF56" s="21">
        <v>94.08</v>
      </c>
      <c r="AG56" s="26"/>
      <c r="AH56" s="27">
        <v>0.84</v>
      </c>
      <c r="AI56" s="25">
        <f t="shared" si="48"/>
        <v>0</v>
      </c>
      <c r="AJ56" s="64">
        <f t="shared" si="27"/>
        <v>94.92</v>
      </c>
      <c r="AK56" s="26">
        <v>0</v>
      </c>
      <c r="AL56" s="26"/>
      <c r="AM56" s="27">
        <v>2.04</v>
      </c>
      <c r="AN56" s="25">
        <f t="shared" si="49"/>
        <v>1.7999999999999998</v>
      </c>
      <c r="AO56" s="64">
        <f t="shared" si="29"/>
        <v>0.24000000000000021</v>
      </c>
      <c r="AP56" s="21">
        <v>1.7999999999999998</v>
      </c>
      <c r="AQ56" s="26"/>
      <c r="AR56" s="27">
        <v>2.16</v>
      </c>
      <c r="AS56" s="25">
        <f t="shared" si="50"/>
        <v>2.16</v>
      </c>
      <c r="AT56" s="64">
        <f t="shared" si="31"/>
        <v>1.7999999999999998</v>
      </c>
      <c r="AU56" s="21">
        <v>2.16</v>
      </c>
      <c r="AV56" s="26"/>
      <c r="AW56" s="27">
        <v>9.48</v>
      </c>
      <c r="AX56" s="97">
        <f t="shared" si="51"/>
        <v>11.52</v>
      </c>
      <c r="AY56" s="64">
        <f t="shared" si="33"/>
        <v>0.12000000000000099</v>
      </c>
      <c r="AZ56" s="131">
        <v>11.52</v>
      </c>
      <c r="BA56" s="26"/>
      <c r="BB56" s="27">
        <v>3.7199999999999998</v>
      </c>
      <c r="BC56" s="25">
        <f t="shared" si="52"/>
        <v>1.7999999999999998</v>
      </c>
      <c r="BD56" s="64">
        <f t="shared" si="35"/>
        <v>13.439999999999998</v>
      </c>
      <c r="BE56" s="26">
        <v>1.7999999999999998</v>
      </c>
      <c r="BF56" s="26"/>
      <c r="BG56" s="27">
        <v>1.2</v>
      </c>
      <c r="BH56" s="25">
        <f>CQ92</f>
        <v>2.4</v>
      </c>
      <c r="BI56" s="64">
        <f t="shared" si="37"/>
        <v>0.60000000000000009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1" customFormat="1">
      <c r="A57" s="128" t="s">
        <v>19</v>
      </c>
      <c r="B57" s="26">
        <v>70.8</v>
      </c>
      <c r="C57" s="26">
        <v>86.4</v>
      </c>
      <c r="D57" s="129">
        <v>17</v>
      </c>
      <c r="E57" s="23">
        <f t="shared" si="38"/>
        <v>100.80000000000001</v>
      </c>
      <c r="F57" s="64">
        <f t="shared" si="39"/>
        <v>73.399999999999977</v>
      </c>
      <c r="G57" s="130">
        <v>100.80000000000001</v>
      </c>
      <c r="H57" s="26">
        <f>12.02+72</f>
        <v>84.02</v>
      </c>
      <c r="I57" s="22">
        <v>1.2000000000000002</v>
      </c>
      <c r="J57" s="23">
        <f t="shared" si="40"/>
        <v>82.8</v>
      </c>
      <c r="K57" s="64">
        <f t="shared" si="20"/>
        <v>103.21999999999998</v>
      </c>
      <c r="L57" s="26">
        <v>82.8</v>
      </c>
      <c r="M57" s="26">
        <v>72</v>
      </c>
      <c r="N57" s="27">
        <v>9.6000000000000014</v>
      </c>
      <c r="O57" s="25">
        <f t="shared" si="41"/>
        <v>28.8</v>
      </c>
      <c r="P57" s="64">
        <f t="shared" si="42"/>
        <v>135.6</v>
      </c>
      <c r="Q57" s="26">
        <v>28.8</v>
      </c>
      <c r="R57" s="26">
        <v>72</v>
      </c>
      <c r="S57" s="27">
        <v>6</v>
      </c>
      <c r="T57" s="25">
        <f t="shared" si="43"/>
        <v>42.8</v>
      </c>
      <c r="U57" s="65">
        <f t="shared" si="44"/>
        <v>64</v>
      </c>
      <c r="V57" s="28">
        <v>42.8</v>
      </c>
      <c r="W57" s="26">
        <v>96</v>
      </c>
      <c r="X57" s="27">
        <v>2</v>
      </c>
      <c r="Y57" s="25">
        <f t="shared" si="45"/>
        <v>63.6</v>
      </c>
      <c r="Z57" s="65">
        <f t="shared" si="46"/>
        <v>77.200000000000017</v>
      </c>
      <c r="AA57" s="26">
        <v>63.6</v>
      </c>
      <c r="AB57" s="26">
        <v>182.4</v>
      </c>
      <c r="AC57" s="27">
        <v>10.8</v>
      </c>
      <c r="AD57" s="25">
        <f t="shared" si="47"/>
        <v>102.8</v>
      </c>
      <c r="AE57" s="64">
        <f t="shared" si="25"/>
        <v>154</v>
      </c>
      <c r="AF57" s="26">
        <v>102.8</v>
      </c>
      <c r="AG57" s="26"/>
      <c r="AH57" s="27">
        <v>0.4</v>
      </c>
      <c r="AI57" s="25">
        <f t="shared" si="48"/>
        <v>69.600000000000009</v>
      </c>
      <c r="AJ57" s="64">
        <f t="shared" si="27"/>
        <v>33.599999999999994</v>
      </c>
      <c r="AK57" s="26">
        <v>69.600000000000009</v>
      </c>
      <c r="AL57" s="26"/>
      <c r="AM57" s="27">
        <v>4.4000000000000004</v>
      </c>
      <c r="AN57" s="25">
        <f t="shared" si="49"/>
        <v>31.6</v>
      </c>
      <c r="AO57" s="64">
        <f t="shared" si="29"/>
        <v>42.400000000000013</v>
      </c>
      <c r="AP57" s="26">
        <v>31.6</v>
      </c>
      <c r="AQ57" s="26"/>
      <c r="AR57" s="27">
        <v>0</v>
      </c>
      <c r="AS57" s="25">
        <f t="shared" si="50"/>
        <v>18.8</v>
      </c>
      <c r="AT57" s="64">
        <f t="shared" si="31"/>
        <v>12.8</v>
      </c>
      <c r="AU57" s="26">
        <v>18.8</v>
      </c>
      <c r="AV57" s="26"/>
      <c r="AW57" s="27">
        <v>2.4000000000000004</v>
      </c>
      <c r="AX57" s="97">
        <f t="shared" si="51"/>
        <v>20.8</v>
      </c>
      <c r="AY57" s="64">
        <f t="shared" si="33"/>
        <v>0.40000000000000213</v>
      </c>
      <c r="AZ57" s="131">
        <v>20.8</v>
      </c>
      <c r="BA57" s="26">
        <f>43.2+96</f>
        <v>139.19999999999999</v>
      </c>
      <c r="BB57" s="27">
        <v>0.8</v>
      </c>
      <c r="BC57" s="25">
        <f t="shared" si="52"/>
        <v>44.4</v>
      </c>
      <c r="BD57" s="64">
        <f t="shared" si="35"/>
        <v>116.4</v>
      </c>
      <c r="BE57" s="26">
        <v>44.4</v>
      </c>
      <c r="BF57" s="26">
        <f>10.8+148.8</f>
        <v>159.60000000000002</v>
      </c>
      <c r="BG57" s="27">
        <v>0.4</v>
      </c>
      <c r="BH57" s="25">
        <f t="shared" si="53"/>
        <v>132</v>
      </c>
      <c r="BI57" s="64">
        <f t="shared" si="37"/>
        <v>72.400000000000034</v>
      </c>
      <c r="BJ57" s="128" t="s">
        <v>19</v>
      </c>
    </row>
    <row r="58" spans="1:71">
      <c r="A58" s="4" t="s">
        <v>20</v>
      </c>
      <c r="B58" s="21">
        <v>179</v>
      </c>
      <c r="C58" s="26">
        <v>60</v>
      </c>
      <c r="D58" s="22">
        <v>3</v>
      </c>
      <c r="E58" s="23">
        <f t="shared" si="38"/>
        <v>239</v>
      </c>
      <c r="F58" s="64">
        <f t="shared" si="39"/>
        <v>3</v>
      </c>
      <c r="G58" s="23">
        <v>239</v>
      </c>
      <c r="H58" s="26"/>
      <c r="I58" s="22">
        <v>7</v>
      </c>
      <c r="J58" s="23">
        <f t="shared" si="40"/>
        <v>135</v>
      </c>
      <c r="K58" s="64">
        <f t="shared" si="20"/>
        <v>111</v>
      </c>
      <c r="L58" s="21">
        <v>135</v>
      </c>
      <c r="M58" s="21"/>
      <c r="N58" s="24">
        <v>30</v>
      </c>
      <c r="O58" s="25">
        <f t="shared" si="41"/>
        <v>116</v>
      </c>
      <c r="P58" s="64">
        <f t="shared" si="42"/>
        <v>49</v>
      </c>
      <c r="Q58" s="26">
        <v>116</v>
      </c>
      <c r="R58" s="26">
        <v>50</v>
      </c>
      <c r="S58" s="27">
        <v>17</v>
      </c>
      <c r="T58" s="25">
        <f t="shared" si="43"/>
        <v>71</v>
      </c>
      <c r="U58" s="65">
        <f t="shared" si="44"/>
        <v>112</v>
      </c>
      <c r="V58" s="25">
        <v>71</v>
      </c>
      <c r="W58" s="26">
        <v>37.15</v>
      </c>
      <c r="X58" s="24">
        <v>16</v>
      </c>
      <c r="Y58" s="25">
        <f t="shared" si="45"/>
        <v>60</v>
      </c>
      <c r="Z58" s="65">
        <f t="shared" si="46"/>
        <v>64.150000000000006</v>
      </c>
      <c r="AA58" s="21">
        <v>60</v>
      </c>
      <c r="AB58" s="26"/>
      <c r="AC58" s="27">
        <v>16</v>
      </c>
      <c r="AD58" s="25">
        <f t="shared" si="47"/>
        <v>15</v>
      </c>
      <c r="AE58" s="64">
        <f t="shared" si="25"/>
        <v>61</v>
      </c>
      <c r="AF58" s="21">
        <v>15</v>
      </c>
      <c r="AG58" s="26"/>
      <c r="AH58" s="27">
        <v>10</v>
      </c>
      <c r="AI58" s="25">
        <f t="shared" si="48"/>
        <v>28</v>
      </c>
      <c r="AJ58" s="64">
        <f t="shared" si="27"/>
        <v>-3</v>
      </c>
      <c r="AK58" s="26">
        <v>28</v>
      </c>
      <c r="AL58" s="26"/>
      <c r="AM58" s="27">
        <v>17</v>
      </c>
      <c r="AN58" s="25">
        <f t="shared" si="49"/>
        <v>39</v>
      </c>
      <c r="AO58" s="64">
        <f t="shared" si="29"/>
        <v>6</v>
      </c>
      <c r="AP58" s="21">
        <v>39</v>
      </c>
      <c r="AQ58" s="26">
        <v>108</v>
      </c>
      <c r="AR58" s="27">
        <v>9</v>
      </c>
      <c r="AS58" s="25">
        <f t="shared" si="50"/>
        <v>102</v>
      </c>
      <c r="AT58" s="64">
        <f t="shared" si="31"/>
        <v>54</v>
      </c>
      <c r="AU58" s="21">
        <v>102</v>
      </c>
      <c r="AV58" s="26">
        <v>96</v>
      </c>
      <c r="AW58" s="27">
        <v>6</v>
      </c>
      <c r="AX58" s="97">
        <f t="shared" si="51"/>
        <v>74</v>
      </c>
      <c r="AY58" s="64">
        <f t="shared" si="33"/>
        <v>130</v>
      </c>
      <c r="AZ58" s="131">
        <v>74</v>
      </c>
      <c r="BA58" s="26"/>
      <c r="BB58" s="27">
        <v>11</v>
      </c>
      <c r="BC58" s="25">
        <f t="shared" si="52"/>
        <v>12</v>
      </c>
      <c r="BD58" s="64">
        <f t="shared" si="35"/>
        <v>73</v>
      </c>
      <c r="BE58" s="26">
        <v>12</v>
      </c>
      <c r="BF58" s="26">
        <v>176.36</v>
      </c>
      <c r="BG58" s="27">
        <v>3</v>
      </c>
      <c r="BH58" s="25">
        <f t="shared" si="53"/>
        <v>114</v>
      </c>
      <c r="BI58" s="64">
        <f t="shared" si="37"/>
        <v>77.360000000000014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128</v>
      </c>
      <c r="C59" s="21">
        <v>96</v>
      </c>
      <c r="D59" s="22">
        <v>1</v>
      </c>
      <c r="E59" s="23">
        <f t="shared" si="38"/>
        <v>166</v>
      </c>
      <c r="F59" s="64">
        <f t="shared" si="39"/>
        <v>59</v>
      </c>
      <c r="G59" s="23">
        <v>166</v>
      </c>
      <c r="H59" s="21">
        <v>144</v>
      </c>
      <c r="I59" s="22">
        <v>1</v>
      </c>
      <c r="J59" s="23">
        <f t="shared" si="40"/>
        <v>192</v>
      </c>
      <c r="K59" s="64">
        <f t="shared" si="20"/>
        <v>119</v>
      </c>
      <c r="L59" s="21">
        <v>192</v>
      </c>
      <c r="M59" s="21"/>
      <c r="N59" s="24">
        <v>2</v>
      </c>
      <c r="O59" s="25">
        <f t="shared" si="41"/>
        <v>62</v>
      </c>
      <c r="P59" s="64">
        <f t="shared" si="42"/>
        <v>132</v>
      </c>
      <c r="Q59" s="26">
        <v>62</v>
      </c>
      <c r="R59" s="26">
        <v>8</v>
      </c>
      <c r="S59" s="27">
        <v>20</v>
      </c>
      <c r="T59" s="25">
        <f t="shared" si="43"/>
        <v>68</v>
      </c>
      <c r="U59" s="65">
        <f t="shared" si="44"/>
        <v>22</v>
      </c>
      <c r="V59" s="25">
        <v>68</v>
      </c>
      <c r="W59" s="21"/>
      <c r="X59" s="24">
        <v>10</v>
      </c>
      <c r="Y59" s="25">
        <f t="shared" si="45"/>
        <v>6</v>
      </c>
      <c r="Z59" s="65">
        <f t="shared" si="46"/>
        <v>72</v>
      </c>
      <c r="AA59" s="21">
        <v>6</v>
      </c>
      <c r="AB59" s="26"/>
      <c r="AC59" s="27">
        <v>10</v>
      </c>
      <c r="AD59" s="25">
        <f t="shared" si="47"/>
        <v>9</v>
      </c>
      <c r="AE59" s="64">
        <f t="shared" si="25"/>
        <v>7</v>
      </c>
      <c r="AF59" s="21">
        <v>9</v>
      </c>
      <c r="AG59" s="26"/>
      <c r="AH59" s="27">
        <v>0</v>
      </c>
      <c r="AI59" s="25">
        <f t="shared" si="48"/>
        <v>9</v>
      </c>
      <c r="AJ59" s="64">
        <f t="shared" si="27"/>
        <v>0</v>
      </c>
      <c r="AK59" s="26">
        <v>9</v>
      </c>
      <c r="AL59" s="26"/>
      <c r="AM59" s="27">
        <v>4</v>
      </c>
      <c r="AN59" s="25">
        <f t="shared" si="49"/>
        <v>13</v>
      </c>
      <c r="AO59" s="64">
        <f t="shared" si="29"/>
        <v>0</v>
      </c>
      <c r="AP59" s="21">
        <v>13</v>
      </c>
      <c r="AQ59" s="26"/>
      <c r="AR59" s="27">
        <v>3</v>
      </c>
      <c r="AS59" s="25">
        <f t="shared" si="50"/>
        <v>12</v>
      </c>
      <c r="AT59" s="64">
        <f t="shared" si="31"/>
        <v>4</v>
      </c>
      <c r="AU59" s="21">
        <v>12</v>
      </c>
      <c r="AV59" s="26"/>
      <c r="AW59" s="27">
        <v>7</v>
      </c>
      <c r="AX59" s="97">
        <f t="shared" si="51"/>
        <v>16</v>
      </c>
      <c r="AY59" s="64">
        <f t="shared" si="33"/>
        <v>3</v>
      </c>
      <c r="AZ59" s="131">
        <v>16</v>
      </c>
      <c r="BA59" s="26"/>
      <c r="BB59" s="27">
        <v>4</v>
      </c>
      <c r="BC59" s="25">
        <f t="shared" si="52"/>
        <v>1</v>
      </c>
      <c r="BD59" s="64">
        <f t="shared" si="35"/>
        <v>19</v>
      </c>
      <c r="BE59" s="26">
        <v>1</v>
      </c>
      <c r="BF59" s="26"/>
      <c r="BG59" s="27">
        <v>4</v>
      </c>
      <c r="BH59" s="25">
        <f t="shared" si="53"/>
        <v>3</v>
      </c>
      <c r="BI59" s="64">
        <f t="shared" si="37"/>
        <v>2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86</v>
      </c>
      <c r="C60" s="26">
        <v>120</v>
      </c>
      <c r="D60" s="22">
        <v>3.75</v>
      </c>
      <c r="E60" s="23">
        <f t="shared" si="38"/>
        <v>87</v>
      </c>
      <c r="F60" s="64">
        <f t="shared" si="39"/>
        <v>122.75</v>
      </c>
      <c r="G60" s="23">
        <v>87</v>
      </c>
      <c r="H60" s="26">
        <v>150</v>
      </c>
      <c r="I60" s="22">
        <v>3</v>
      </c>
      <c r="J60" s="23">
        <f t="shared" si="40"/>
        <v>111</v>
      </c>
      <c r="K60" s="64">
        <f t="shared" si="20"/>
        <v>129</v>
      </c>
      <c r="L60" s="21">
        <v>111</v>
      </c>
      <c r="M60" s="21">
        <v>150</v>
      </c>
      <c r="N60" s="24">
        <v>46</v>
      </c>
      <c r="O60" s="25">
        <f t="shared" si="41"/>
        <v>94</v>
      </c>
      <c r="P60" s="64">
        <f t="shared" si="42"/>
        <v>213</v>
      </c>
      <c r="Q60" s="26">
        <v>94</v>
      </c>
      <c r="R60" s="26">
        <v>150</v>
      </c>
      <c r="S60" s="27">
        <v>20</v>
      </c>
      <c r="T60" s="25">
        <f t="shared" si="43"/>
        <v>85</v>
      </c>
      <c r="U60" s="65">
        <f t="shared" si="44"/>
        <v>179</v>
      </c>
      <c r="V60" s="25">
        <v>85</v>
      </c>
      <c r="W60" s="26">
        <v>100</v>
      </c>
      <c r="X60" s="24">
        <v>60</v>
      </c>
      <c r="Y60" s="25">
        <f t="shared" si="45"/>
        <v>98</v>
      </c>
      <c r="Z60" s="65">
        <f t="shared" si="46"/>
        <v>147</v>
      </c>
      <c r="AA60" s="21">
        <v>98</v>
      </c>
      <c r="AB60" s="26"/>
      <c r="AC60" s="27">
        <v>47</v>
      </c>
      <c r="AD60" s="25">
        <f t="shared" si="47"/>
        <v>22</v>
      </c>
      <c r="AE60" s="64">
        <f t="shared" si="25"/>
        <v>123</v>
      </c>
      <c r="AF60" s="21">
        <v>22</v>
      </c>
      <c r="AG60" s="26">
        <v>240</v>
      </c>
      <c r="AH60" s="27">
        <v>2</v>
      </c>
      <c r="AI60" s="25">
        <f t="shared" si="48"/>
        <v>120</v>
      </c>
      <c r="AJ60" s="64">
        <f t="shared" si="27"/>
        <v>144</v>
      </c>
      <c r="AK60" s="26">
        <v>120</v>
      </c>
      <c r="AL60" s="26">
        <v>120</v>
      </c>
      <c r="AM60" s="27">
        <v>1</v>
      </c>
      <c r="AN60" s="25">
        <f t="shared" si="49"/>
        <v>106</v>
      </c>
      <c r="AO60" s="64">
        <f t="shared" si="29"/>
        <v>135</v>
      </c>
      <c r="AP60" s="21">
        <v>106</v>
      </c>
      <c r="AQ60" s="26">
        <v>180</v>
      </c>
      <c r="AR60" s="27">
        <v>3</v>
      </c>
      <c r="AS60" s="25">
        <f t="shared" si="50"/>
        <v>135</v>
      </c>
      <c r="AT60" s="64">
        <f t="shared" si="31"/>
        <v>154</v>
      </c>
      <c r="AU60" s="21">
        <v>135</v>
      </c>
      <c r="AV60" s="26">
        <v>180</v>
      </c>
      <c r="AW60" s="27">
        <v>81</v>
      </c>
      <c r="AX60" s="97">
        <f t="shared" si="51"/>
        <v>157</v>
      </c>
      <c r="AY60" s="64">
        <f t="shared" si="33"/>
        <v>239</v>
      </c>
      <c r="AZ60" s="131">
        <v>157</v>
      </c>
      <c r="BA60" s="26">
        <v>180</v>
      </c>
      <c r="BB60" s="27">
        <v>5</v>
      </c>
      <c r="BC60" s="25">
        <f t="shared" si="52"/>
        <v>155</v>
      </c>
      <c r="BD60" s="64">
        <f t="shared" si="35"/>
        <v>187</v>
      </c>
      <c r="BE60" s="26">
        <v>155</v>
      </c>
      <c r="BF60" s="26">
        <v>120</v>
      </c>
      <c r="BG60" s="27">
        <v>0</v>
      </c>
      <c r="BH60" s="25">
        <f t="shared" si="53"/>
        <v>273</v>
      </c>
      <c r="BI60" s="64">
        <f t="shared" si="37"/>
        <v>2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0</v>
      </c>
      <c r="C61" s="26"/>
      <c r="D61" s="22">
        <v>1.4000000000000001</v>
      </c>
      <c r="E61" s="23">
        <f t="shared" si="38"/>
        <v>4</v>
      </c>
      <c r="F61" s="64">
        <f t="shared" si="39"/>
        <v>-2.5999999999999996</v>
      </c>
      <c r="G61" s="23">
        <v>4</v>
      </c>
      <c r="H61" s="26">
        <v>39.6</v>
      </c>
      <c r="I61" s="22">
        <v>2.75</v>
      </c>
      <c r="J61" s="23">
        <f t="shared" si="40"/>
        <v>14.375</v>
      </c>
      <c r="K61" s="64">
        <f t="shared" si="20"/>
        <v>31.975000000000001</v>
      </c>
      <c r="L61" s="21">
        <v>14.375</v>
      </c>
      <c r="M61" s="21">
        <v>14.4</v>
      </c>
      <c r="N61" s="24">
        <v>3.5</v>
      </c>
      <c r="O61" s="25">
        <f t="shared" si="41"/>
        <v>4.375</v>
      </c>
      <c r="P61" s="64">
        <f t="shared" si="42"/>
        <v>27.9</v>
      </c>
      <c r="Q61" s="26">
        <v>4.375</v>
      </c>
      <c r="R61" s="26">
        <v>19.2</v>
      </c>
      <c r="S61" s="27">
        <v>1.875</v>
      </c>
      <c r="T61" s="25">
        <f t="shared" si="43"/>
        <v>3</v>
      </c>
      <c r="U61" s="65">
        <f t="shared" si="44"/>
        <v>22.45</v>
      </c>
      <c r="V61" s="25">
        <v>3</v>
      </c>
      <c r="W61" s="26"/>
      <c r="X61" s="24">
        <v>3</v>
      </c>
      <c r="Y61" s="25">
        <f t="shared" si="45"/>
        <v>2.25</v>
      </c>
      <c r="Z61" s="65">
        <f t="shared" si="46"/>
        <v>3.75</v>
      </c>
      <c r="AA61" s="21">
        <v>2.25</v>
      </c>
      <c r="AB61" s="26"/>
      <c r="AC61" s="27">
        <v>0</v>
      </c>
      <c r="AD61" s="25">
        <f t="shared" si="47"/>
        <v>1</v>
      </c>
      <c r="AE61" s="64">
        <f t="shared" si="25"/>
        <v>1.25</v>
      </c>
      <c r="AF61" s="21">
        <v>1</v>
      </c>
      <c r="AG61" s="26"/>
      <c r="AH61" s="27">
        <v>0.375</v>
      </c>
      <c r="AI61" s="25">
        <f t="shared" si="48"/>
        <v>0</v>
      </c>
      <c r="AJ61" s="64">
        <f t="shared" si="27"/>
        <v>1.375</v>
      </c>
      <c r="AK61" s="26">
        <v>0</v>
      </c>
      <c r="AL61" s="26"/>
      <c r="AM61" s="27">
        <v>0.5</v>
      </c>
      <c r="AN61" s="25">
        <f t="shared" si="49"/>
        <v>0</v>
      </c>
      <c r="AO61" s="64">
        <f t="shared" si="29"/>
        <v>0.5</v>
      </c>
      <c r="AP61" s="21">
        <v>0</v>
      </c>
      <c r="AQ61" s="26">
        <v>25.92</v>
      </c>
      <c r="AR61" s="27">
        <v>0.75</v>
      </c>
      <c r="AS61" s="25">
        <f t="shared" si="50"/>
        <v>11.5</v>
      </c>
      <c r="AT61" s="64">
        <f t="shared" si="31"/>
        <v>15.170000000000002</v>
      </c>
      <c r="AU61" s="21">
        <v>11.5</v>
      </c>
      <c r="AV61" s="26">
        <v>25.92</v>
      </c>
      <c r="AW61" s="27">
        <v>4</v>
      </c>
      <c r="AX61" s="97">
        <f t="shared" si="51"/>
        <v>0</v>
      </c>
      <c r="AY61" s="64">
        <f t="shared" si="33"/>
        <v>41.42</v>
      </c>
      <c r="AZ61" s="131">
        <v>0</v>
      </c>
      <c r="BA61" s="26">
        <v>25.92</v>
      </c>
      <c r="BB61" s="27">
        <v>0.25</v>
      </c>
      <c r="BC61" s="25">
        <f t="shared" si="52"/>
        <v>0</v>
      </c>
      <c r="BD61" s="64">
        <f t="shared" si="35"/>
        <v>26.17</v>
      </c>
      <c r="BE61" s="26">
        <v>0</v>
      </c>
      <c r="BF61" s="26">
        <f>189.096+17.2</f>
        <v>206.29599999999999</v>
      </c>
      <c r="BG61" s="27">
        <v>0.5</v>
      </c>
      <c r="BH61" s="25">
        <f t="shared" si="53"/>
        <v>22</v>
      </c>
      <c r="BI61" s="64">
        <f t="shared" si="37"/>
        <v>184.79599999999999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0</v>
      </c>
      <c r="C62" s="26"/>
      <c r="D62" s="22">
        <v>0</v>
      </c>
      <c r="E62" s="23">
        <f t="shared" si="38"/>
        <v>1.6</v>
      </c>
      <c r="F62" s="64">
        <f t="shared" si="39"/>
        <v>-1.6</v>
      </c>
      <c r="G62" s="23">
        <v>1.6</v>
      </c>
      <c r="H62" s="26"/>
      <c r="I62" s="129">
        <v>0.2</v>
      </c>
      <c r="J62" s="23">
        <f t="shared" si="40"/>
        <v>2.6</v>
      </c>
      <c r="K62" s="64">
        <f t="shared" si="20"/>
        <v>-0.8</v>
      </c>
      <c r="L62" s="21">
        <v>2.6</v>
      </c>
      <c r="M62" s="21">
        <v>54.009999999999991</v>
      </c>
      <c r="N62" s="24">
        <v>2.8000000000000003</v>
      </c>
      <c r="O62" s="25">
        <f t="shared" si="41"/>
        <v>14.2</v>
      </c>
      <c r="P62" s="64">
        <f t="shared" si="42"/>
        <v>45.209999999999994</v>
      </c>
      <c r="Q62" s="26">
        <v>14.2</v>
      </c>
      <c r="R62" s="26"/>
      <c r="S62" s="27">
        <v>1.2000000000000002</v>
      </c>
      <c r="T62" s="25">
        <f t="shared" si="43"/>
        <v>0.8</v>
      </c>
      <c r="U62" s="65">
        <f t="shared" si="44"/>
        <v>14.599999999999998</v>
      </c>
      <c r="V62" s="25">
        <v>0.8</v>
      </c>
      <c r="W62" s="26"/>
      <c r="X62" s="24">
        <v>2.8000000000000003</v>
      </c>
      <c r="Y62" s="25">
        <f t="shared" si="45"/>
        <v>1</v>
      </c>
      <c r="Z62" s="65">
        <f t="shared" si="46"/>
        <v>2.6000000000000005</v>
      </c>
      <c r="AA62" s="21">
        <v>1</v>
      </c>
      <c r="AB62" s="26"/>
      <c r="AC62" s="27">
        <v>0</v>
      </c>
      <c r="AD62" s="25">
        <f t="shared" si="47"/>
        <v>0.4</v>
      </c>
      <c r="AE62" s="64">
        <f t="shared" si="25"/>
        <v>0.6</v>
      </c>
      <c r="AF62" s="21">
        <v>0.4</v>
      </c>
      <c r="AG62" s="26">
        <v>114.72</v>
      </c>
      <c r="AH62" s="27">
        <v>0.2</v>
      </c>
      <c r="AI62" s="25">
        <f t="shared" si="48"/>
        <v>26.400000000000002</v>
      </c>
      <c r="AJ62" s="64">
        <f t="shared" si="27"/>
        <v>88.92</v>
      </c>
      <c r="AK62" s="26">
        <v>26.400000000000002</v>
      </c>
      <c r="AL62" s="26">
        <v>41.04</v>
      </c>
      <c r="AM62" s="27">
        <v>0</v>
      </c>
      <c r="AN62" s="25">
        <f t="shared" si="49"/>
        <v>35.800000000000004</v>
      </c>
      <c r="AO62" s="64">
        <f t="shared" si="29"/>
        <v>31.639999999999993</v>
      </c>
      <c r="AP62" s="21">
        <v>35.800000000000004</v>
      </c>
      <c r="AQ62" s="26"/>
      <c r="AR62" s="27">
        <v>0.60000000000000009</v>
      </c>
      <c r="AS62" s="25">
        <f t="shared" si="50"/>
        <v>25.6</v>
      </c>
      <c r="AT62" s="64">
        <f t="shared" si="31"/>
        <v>10.800000000000004</v>
      </c>
      <c r="AU62" s="21">
        <v>25.6</v>
      </c>
      <c r="AV62" s="26"/>
      <c r="AW62" s="27">
        <v>2.2000000000000002</v>
      </c>
      <c r="AX62" s="97">
        <f t="shared" si="51"/>
        <v>0</v>
      </c>
      <c r="AY62" s="64">
        <f t="shared" si="33"/>
        <v>27.8</v>
      </c>
      <c r="AZ62" s="131">
        <v>0</v>
      </c>
      <c r="BA62" s="26"/>
      <c r="BB62" s="27">
        <v>0.4</v>
      </c>
      <c r="BC62" s="25">
        <f t="shared" si="52"/>
        <v>0</v>
      </c>
      <c r="BD62" s="64">
        <f t="shared" si="35"/>
        <v>0.4</v>
      </c>
      <c r="BE62" s="26">
        <v>0</v>
      </c>
      <c r="BF62" s="26">
        <v>83.53</v>
      </c>
      <c r="BG62" s="27">
        <v>0</v>
      </c>
      <c r="BH62" s="25">
        <f t="shared" si="53"/>
        <v>20</v>
      </c>
      <c r="BI62" s="64">
        <f t="shared" si="37"/>
        <v>63.53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1" customFormat="1">
      <c r="A63" s="132" t="s">
        <v>25</v>
      </c>
      <c r="B63" s="26">
        <v>147.84</v>
      </c>
      <c r="C63" s="26">
        <f>15+126.72</f>
        <v>141.72</v>
      </c>
      <c r="D63" s="129"/>
      <c r="E63" s="23">
        <f t="shared" si="38"/>
        <v>196.01015228426394</v>
      </c>
      <c r="F63" s="64">
        <f t="shared" si="39"/>
        <v>93.549847715736064</v>
      </c>
      <c r="G63" s="130">
        <v>196.01015228426394</v>
      </c>
      <c r="H63" s="26">
        <v>222.22000000000003</v>
      </c>
      <c r="I63" s="22">
        <v>0</v>
      </c>
      <c r="J63" s="23">
        <f t="shared" si="40"/>
        <v>216.52791878172587</v>
      </c>
      <c r="K63" s="64">
        <f t="shared" si="20"/>
        <v>201.70223350253809</v>
      </c>
      <c r="L63" s="26">
        <v>216.52791878172587</v>
      </c>
      <c r="M63" s="26">
        <v>314.91999999999996</v>
      </c>
      <c r="N63" s="27">
        <v>5.0599999999999996</v>
      </c>
      <c r="O63" s="25">
        <f t="shared" si="41"/>
        <v>181.38578680203045</v>
      </c>
      <c r="P63" s="64">
        <f t="shared" si="42"/>
        <v>355.12213197969527</v>
      </c>
      <c r="Q63" s="26">
        <v>181.38578680203045</v>
      </c>
      <c r="R63" s="26">
        <f>16.2+205.77</f>
        <v>221.97</v>
      </c>
      <c r="S63" s="27">
        <v>0</v>
      </c>
      <c r="T63" s="25">
        <f t="shared" si="43"/>
        <v>110</v>
      </c>
      <c r="U63" s="65">
        <f t="shared" si="44"/>
        <v>293.35578680203048</v>
      </c>
      <c r="V63" s="28">
        <v>110</v>
      </c>
      <c r="W63" s="26">
        <f>29.58+224.37</f>
        <v>253.95</v>
      </c>
      <c r="X63" s="27">
        <v>0.66</v>
      </c>
      <c r="Y63" s="25">
        <f t="shared" si="45"/>
        <v>33.880000000000003</v>
      </c>
      <c r="Z63" s="65">
        <f t="shared" si="46"/>
        <v>330.73</v>
      </c>
      <c r="AA63" s="26">
        <v>33.880000000000003</v>
      </c>
      <c r="AB63" s="26">
        <f>25+207</f>
        <v>232</v>
      </c>
      <c r="AC63" s="27">
        <v>2.86</v>
      </c>
      <c r="AD63" s="25">
        <f t="shared" si="47"/>
        <v>10.08</v>
      </c>
      <c r="AE63" s="64">
        <f t="shared" si="25"/>
        <v>258.66000000000003</v>
      </c>
      <c r="AF63" s="26">
        <v>10.08</v>
      </c>
      <c r="AG63" s="26">
        <v>6</v>
      </c>
      <c r="AH63" s="27">
        <v>0</v>
      </c>
      <c r="AI63" s="25">
        <f t="shared" si="48"/>
        <v>0</v>
      </c>
      <c r="AJ63" s="64">
        <f t="shared" si="27"/>
        <v>16.079999999999998</v>
      </c>
      <c r="AK63" s="26">
        <v>0</v>
      </c>
      <c r="AL63" s="26">
        <v>12</v>
      </c>
      <c r="AM63" s="27">
        <v>0</v>
      </c>
      <c r="AN63" s="25">
        <f t="shared" si="49"/>
        <v>0</v>
      </c>
      <c r="AO63" s="64">
        <f t="shared" si="29"/>
        <v>12</v>
      </c>
      <c r="AP63" s="26">
        <v>0</v>
      </c>
      <c r="AQ63" s="26">
        <f>43.38+105.02</f>
        <v>148.4</v>
      </c>
      <c r="AR63" s="27">
        <v>0.66</v>
      </c>
      <c r="AS63" s="25">
        <f t="shared" si="50"/>
        <v>16.439999999999998</v>
      </c>
      <c r="AT63" s="64">
        <f t="shared" si="31"/>
        <v>132.62</v>
      </c>
      <c r="AU63" s="26">
        <v>16.439999999999998</v>
      </c>
      <c r="AV63" s="26">
        <v>188.16</v>
      </c>
      <c r="AW63" s="27">
        <v>0.66</v>
      </c>
      <c r="AX63" s="97">
        <f t="shared" si="51"/>
        <v>40.68</v>
      </c>
      <c r="AY63" s="64">
        <f t="shared" si="33"/>
        <v>164.57999999999998</v>
      </c>
      <c r="AZ63" s="131">
        <v>40.68</v>
      </c>
      <c r="BA63" s="26">
        <f>10.24+154.08</f>
        <v>164.32000000000002</v>
      </c>
      <c r="BB63" s="27">
        <v>0.66</v>
      </c>
      <c r="BC63" s="25">
        <f t="shared" si="52"/>
        <v>17.28</v>
      </c>
      <c r="BD63" s="64">
        <f t="shared" si="35"/>
        <v>188.38000000000002</v>
      </c>
      <c r="BE63" s="26">
        <v>17.28</v>
      </c>
      <c r="BF63" s="26">
        <f>40.87+21.12</f>
        <v>61.989999999999995</v>
      </c>
      <c r="BG63" s="27">
        <v>0</v>
      </c>
      <c r="BH63" s="25">
        <f t="shared" si="53"/>
        <v>27.24</v>
      </c>
      <c r="BI63" s="64">
        <f t="shared" si="37"/>
        <v>52.03</v>
      </c>
      <c r="BJ63" s="132" t="s">
        <v>25</v>
      </c>
    </row>
    <row r="64" spans="1:71">
      <c r="A64" s="6" t="s">
        <v>41</v>
      </c>
      <c r="B64" s="21">
        <v>10.200000000000001</v>
      </c>
      <c r="C64" s="21">
        <f>190.95+43.2</f>
        <v>234.14999999999998</v>
      </c>
      <c r="D64" s="124"/>
      <c r="E64" s="23">
        <f t="shared" si="38"/>
        <v>0</v>
      </c>
      <c r="F64" s="64">
        <f>(B64+C64+D65)-E64</f>
        <v>244.34999999999997</v>
      </c>
      <c r="G64" s="23">
        <v>0</v>
      </c>
      <c r="H64" s="21">
        <f>222.83+48</f>
        <v>270.83000000000004</v>
      </c>
      <c r="J64" s="23">
        <f t="shared" si="40"/>
        <v>16</v>
      </c>
      <c r="K64" s="64">
        <f t="shared" si="20"/>
        <v>254.83000000000004</v>
      </c>
      <c r="L64" s="21">
        <v>16</v>
      </c>
      <c r="M64" s="21">
        <f>13.5+175.08+108</f>
        <v>296.58000000000004</v>
      </c>
      <c r="N64" s="24"/>
      <c r="O64" s="25">
        <f t="shared" si="41"/>
        <v>28</v>
      </c>
      <c r="P64" s="64">
        <f t="shared" si="42"/>
        <v>284.58000000000004</v>
      </c>
      <c r="Q64" s="26">
        <v>28</v>
      </c>
      <c r="R64" s="26">
        <f>33.96+259.73+53.76</f>
        <v>347.45</v>
      </c>
      <c r="S64" s="27"/>
      <c r="T64" s="25">
        <f t="shared" si="43"/>
        <v>0</v>
      </c>
      <c r="U64" s="65">
        <f t="shared" si="44"/>
        <v>375.45</v>
      </c>
      <c r="V64" s="25">
        <v>0</v>
      </c>
      <c r="W64" s="21">
        <f>6.68+263.93+26.88</f>
        <v>297.49</v>
      </c>
      <c r="X64" s="24"/>
      <c r="Y64" s="25">
        <f t="shared" si="45"/>
        <v>5.6000000000000005</v>
      </c>
      <c r="Z64" s="65">
        <f t="shared" si="46"/>
        <v>291.89</v>
      </c>
      <c r="AA64" s="21">
        <v>5.6000000000000005</v>
      </c>
      <c r="AB64" s="26">
        <f>370.39+107.52</f>
        <v>477.90999999999997</v>
      </c>
      <c r="AC64" s="27"/>
      <c r="AD64" s="25">
        <f t="shared" si="47"/>
        <v>0</v>
      </c>
      <c r="AE64" s="64">
        <f t="shared" si="25"/>
        <v>483.51</v>
      </c>
      <c r="AF64" s="21">
        <v>0</v>
      </c>
      <c r="AG64" s="26">
        <f>383.39+53.76</f>
        <v>437.15</v>
      </c>
      <c r="AH64" s="27"/>
      <c r="AI64" s="25">
        <f t="shared" si="48"/>
        <v>0</v>
      </c>
      <c r="AJ64" s="64">
        <f t="shared" si="27"/>
        <v>437.15</v>
      </c>
      <c r="AK64" s="26">
        <v>0</v>
      </c>
      <c r="AL64" s="113">
        <f>108.383+26.88</f>
        <v>135.26300000000001</v>
      </c>
      <c r="AM64" s="27"/>
      <c r="AN64" s="25">
        <f t="shared" si="49"/>
        <v>33.6</v>
      </c>
      <c r="AO64" s="64">
        <f t="shared" si="29"/>
        <v>101.66300000000001</v>
      </c>
      <c r="AP64" s="21">
        <v>33.6</v>
      </c>
      <c r="AQ64" s="26">
        <v>277.33000000000004</v>
      </c>
      <c r="AR64" s="27"/>
      <c r="AS64" s="25">
        <f t="shared" si="50"/>
        <v>1.4000000000000001</v>
      </c>
      <c r="AT64" s="64">
        <f t="shared" si="31"/>
        <v>309.53000000000009</v>
      </c>
      <c r="AU64" s="21">
        <v>1.4000000000000001</v>
      </c>
      <c r="AV64" s="26">
        <f>7.27+245.01+33.6</f>
        <v>285.88</v>
      </c>
      <c r="AW64" s="27"/>
      <c r="AX64" s="97">
        <f t="shared" si="51"/>
        <v>14.4</v>
      </c>
      <c r="AY64" s="64">
        <f t="shared" si="33"/>
        <v>272.88</v>
      </c>
      <c r="AZ64" s="131">
        <v>14.4</v>
      </c>
      <c r="BA64" s="26">
        <f>188.27+12.13+86.4</f>
        <v>286.8</v>
      </c>
      <c r="BB64" s="27">
        <v>37</v>
      </c>
      <c r="BC64" s="25">
        <f t="shared" si="52"/>
        <v>10</v>
      </c>
      <c r="BD64" s="64">
        <f t="shared" si="35"/>
        <v>328.2</v>
      </c>
      <c r="BE64" s="26">
        <v>10</v>
      </c>
      <c r="BF64" s="26">
        <f>215.29+57.6</f>
        <v>272.89</v>
      </c>
      <c r="BG64" s="27"/>
      <c r="BH64" s="25">
        <f t="shared" si="53"/>
        <v>3.2</v>
      </c>
      <c r="BI64" s="64">
        <f t="shared" si="37"/>
        <v>279.69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76</v>
      </c>
      <c r="C65" s="21">
        <v>90</v>
      </c>
      <c r="D65" s="22"/>
      <c r="E65" s="23">
        <f t="shared" si="38"/>
        <v>114.75</v>
      </c>
      <c r="F65" s="64">
        <f>(B65+C65+D66)-E65</f>
        <v>76.599999999999994</v>
      </c>
      <c r="G65" s="23">
        <v>114.75</v>
      </c>
      <c r="H65" s="21">
        <v>90</v>
      </c>
      <c r="I65" s="22"/>
      <c r="J65" s="23">
        <f t="shared" si="40"/>
        <v>118.25</v>
      </c>
      <c r="K65" s="64">
        <f t="shared" si="20"/>
        <v>86.5</v>
      </c>
      <c r="L65" s="21">
        <v>118.25</v>
      </c>
      <c r="M65" s="21">
        <v>90</v>
      </c>
      <c r="N65" s="24"/>
      <c r="O65" s="25">
        <f t="shared" si="41"/>
        <v>114.75</v>
      </c>
      <c r="P65" s="64">
        <f t="shared" si="42"/>
        <v>93.5</v>
      </c>
      <c r="Q65" s="26">
        <v>114.75</v>
      </c>
      <c r="R65" s="26">
        <v>90</v>
      </c>
      <c r="S65" s="27">
        <v>0.25</v>
      </c>
      <c r="T65" s="25">
        <f t="shared" si="43"/>
        <v>137.75</v>
      </c>
      <c r="U65" s="65">
        <f t="shared" si="44"/>
        <v>67.25</v>
      </c>
      <c r="V65" s="25">
        <v>137.75</v>
      </c>
      <c r="W65" s="21">
        <v>90</v>
      </c>
      <c r="X65" s="24"/>
      <c r="Y65" s="25">
        <f t="shared" si="45"/>
        <v>169.5</v>
      </c>
      <c r="Z65" s="65">
        <f t="shared" si="46"/>
        <v>58.25</v>
      </c>
      <c r="AA65" s="21">
        <v>169.5</v>
      </c>
      <c r="AB65" s="26">
        <f>13.68+125</f>
        <v>138.68</v>
      </c>
      <c r="AC65" s="27"/>
      <c r="AD65" s="25">
        <f t="shared" si="47"/>
        <v>181</v>
      </c>
      <c r="AE65" s="64">
        <f t="shared" si="25"/>
        <v>127.18</v>
      </c>
      <c r="AF65" s="21">
        <v>181</v>
      </c>
      <c r="AG65" s="26">
        <v>90</v>
      </c>
      <c r="AH65" s="27"/>
      <c r="AI65" s="25">
        <f t="shared" si="48"/>
        <v>187.25</v>
      </c>
      <c r="AJ65" s="64">
        <f t="shared" si="27"/>
        <v>83.75</v>
      </c>
      <c r="AK65" s="26">
        <v>187.25</v>
      </c>
      <c r="AL65" s="26">
        <v>45</v>
      </c>
      <c r="AM65" s="27">
        <v>0.75</v>
      </c>
      <c r="AN65" s="25">
        <f t="shared" si="49"/>
        <v>171</v>
      </c>
      <c r="AO65" s="64">
        <f t="shared" si="29"/>
        <v>62</v>
      </c>
      <c r="AP65" s="21">
        <v>171</v>
      </c>
      <c r="AQ65" s="26">
        <v>90</v>
      </c>
      <c r="AR65" s="27">
        <v>0.75</v>
      </c>
      <c r="AS65" s="25">
        <f t="shared" si="50"/>
        <v>162.75</v>
      </c>
      <c r="AT65" s="64">
        <f t="shared" si="31"/>
        <v>99</v>
      </c>
      <c r="AU65" s="21">
        <v>162.75</v>
      </c>
      <c r="AV65" s="26">
        <v>135</v>
      </c>
      <c r="AW65" s="27"/>
      <c r="AX65" s="97">
        <f t="shared" si="51"/>
        <v>194.25</v>
      </c>
      <c r="AY65" s="64">
        <f t="shared" si="33"/>
        <v>103.5</v>
      </c>
      <c r="AZ65" s="131">
        <v>194.25</v>
      </c>
      <c r="BA65" s="113"/>
      <c r="BB65" s="27">
        <v>1.25</v>
      </c>
      <c r="BC65" s="25">
        <f t="shared" si="52"/>
        <v>125.5</v>
      </c>
      <c r="BD65" s="64">
        <f t="shared" si="35"/>
        <v>70</v>
      </c>
      <c r="BE65" s="26">
        <v>125.5</v>
      </c>
      <c r="BF65" s="26">
        <v>45</v>
      </c>
      <c r="BG65" s="27">
        <v>0.25</v>
      </c>
      <c r="BH65" s="25">
        <f t="shared" si="53"/>
        <v>139.75</v>
      </c>
      <c r="BI65" s="64">
        <f t="shared" si="37"/>
        <v>31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37.050000000000004</v>
      </c>
      <c r="C66" s="26">
        <f>23.1+72</f>
        <v>95.1</v>
      </c>
      <c r="D66" s="22">
        <v>25.35</v>
      </c>
      <c r="E66" s="23">
        <f>G104</f>
        <v>54.6</v>
      </c>
      <c r="F66" s="64">
        <f t="shared" si="39"/>
        <v>102.9</v>
      </c>
      <c r="G66" s="23">
        <v>54.6</v>
      </c>
      <c r="H66" s="26">
        <f>55.66+18+72</f>
        <v>145.66</v>
      </c>
      <c r="I66" s="22">
        <v>12.09</v>
      </c>
      <c r="J66" s="23">
        <f>O104</f>
        <v>0</v>
      </c>
      <c r="K66" s="64">
        <f t="shared" si="20"/>
        <v>212.35</v>
      </c>
      <c r="L66" s="21">
        <v>0</v>
      </c>
      <c r="M66" s="21">
        <v>72</v>
      </c>
      <c r="N66" s="21">
        <v>15.21</v>
      </c>
      <c r="O66" s="25">
        <f>W104</f>
        <v>62.400000000000006</v>
      </c>
      <c r="P66" s="64">
        <f t="shared" si="42"/>
        <v>24.810000000000002</v>
      </c>
      <c r="Q66" s="26">
        <v>62.400000000000006</v>
      </c>
      <c r="R66" s="26">
        <v>72</v>
      </c>
      <c r="S66" s="26">
        <v>14.82</v>
      </c>
      <c r="T66" s="25">
        <f>AE104</f>
        <v>43.68</v>
      </c>
      <c r="U66" s="65">
        <f t="shared" si="44"/>
        <v>105.53999999999999</v>
      </c>
      <c r="V66" s="25">
        <v>43.68</v>
      </c>
      <c r="W66" s="26">
        <v>72</v>
      </c>
      <c r="X66" s="24">
        <v>7.8000000000000007</v>
      </c>
      <c r="Y66" s="25">
        <f>AM104</f>
        <v>41.730000000000004</v>
      </c>
      <c r="Z66" s="65">
        <f t="shared" si="46"/>
        <v>81.75</v>
      </c>
      <c r="AA66" s="21">
        <v>41.730000000000004</v>
      </c>
      <c r="AB66" s="26">
        <v>48</v>
      </c>
      <c r="AC66" s="26">
        <v>11.31</v>
      </c>
      <c r="AD66" s="25">
        <f>AU104</f>
        <v>53.43</v>
      </c>
      <c r="AE66" s="64">
        <f t="shared" si="25"/>
        <v>47.610000000000007</v>
      </c>
      <c r="AF66" s="21">
        <v>53.43</v>
      </c>
      <c r="AG66" s="26">
        <f>11.64+57.6</f>
        <v>69.240000000000009</v>
      </c>
      <c r="AH66" s="26">
        <v>0.25</v>
      </c>
      <c r="AI66" s="25">
        <f>BC104</f>
        <v>46.410000000000004</v>
      </c>
      <c r="AJ66" s="64">
        <f t="shared" si="27"/>
        <v>76.510000000000019</v>
      </c>
      <c r="AK66" s="26">
        <v>46.410000000000004</v>
      </c>
      <c r="AL66" s="26">
        <f>22.54+57.6</f>
        <v>80.14</v>
      </c>
      <c r="AM66" s="26">
        <v>12.09</v>
      </c>
      <c r="AN66" s="25"/>
      <c r="AO66" s="64">
        <f t="shared" si="29"/>
        <v>138.64000000000001</v>
      </c>
      <c r="AP66" s="21"/>
      <c r="AQ66" s="26">
        <f>39.64+86.4</f>
        <v>126.04</v>
      </c>
      <c r="AR66" s="26">
        <v>12.48</v>
      </c>
      <c r="AS66" s="25">
        <f>BS104</f>
        <v>9.36</v>
      </c>
      <c r="AT66" s="64">
        <f t="shared" si="31"/>
        <v>129.16000000000003</v>
      </c>
      <c r="AU66" s="21">
        <v>9.36</v>
      </c>
      <c r="AV66" s="26">
        <f>30.5+175.8</f>
        <v>206.3</v>
      </c>
      <c r="AW66" s="163">
        <v>5.46</v>
      </c>
      <c r="AX66" s="97">
        <f>CA104</f>
        <v>28.470000000000002</v>
      </c>
      <c r="AY66" s="64">
        <f t="shared" si="33"/>
        <v>192.65000000000003</v>
      </c>
      <c r="AZ66" s="131">
        <v>28.470000000000002</v>
      </c>
      <c r="BA66" s="26">
        <f>11.4+106+59.9</f>
        <v>177.3</v>
      </c>
      <c r="BB66" s="26">
        <v>43.29</v>
      </c>
      <c r="BC66" s="25">
        <f>CI104</f>
        <v>32.76</v>
      </c>
      <c r="BD66" s="64">
        <f t="shared" si="35"/>
        <v>216.3</v>
      </c>
      <c r="BE66" s="26">
        <v>32.76</v>
      </c>
      <c r="BF66" s="26">
        <v>27</v>
      </c>
      <c r="BG66" s="26">
        <v>4.29</v>
      </c>
      <c r="BH66" s="25">
        <f>CQ104</f>
        <v>30.42</v>
      </c>
      <c r="BI66" s="64">
        <f t="shared" si="37"/>
        <v>33.629999999999995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/>
      <c r="C67" s="21"/>
      <c r="D67" s="22"/>
      <c r="E67" s="23"/>
      <c r="F67" s="64">
        <f t="shared" si="39"/>
        <v>0</v>
      </c>
      <c r="G67" s="23"/>
      <c r="H67" s="21"/>
      <c r="I67" s="22"/>
      <c r="J67" s="23"/>
      <c r="K67" s="64">
        <f t="shared" si="20"/>
        <v>0</v>
      </c>
      <c r="L67" s="21"/>
      <c r="M67" s="21"/>
      <c r="N67" s="21"/>
      <c r="O67" s="25">
        <v>0</v>
      </c>
      <c r="P67" s="64">
        <f t="shared" si="42"/>
        <v>0</v>
      </c>
      <c r="Q67" s="26">
        <v>0</v>
      </c>
      <c r="R67" s="26"/>
      <c r="S67" s="26"/>
      <c r="T67" s="25"/>
      <c r="U67" s="65">
        <f t="shared" si="44"/>
        <v>0</v>
      </c>
      <c r="V67" s="25"/>
      <c r="W67" s="21">
        <v>27.759999999999998</v>
      </c>
      <c r="X67" s="21"/>
      <c r="Y67" s="25"/>
      <c r="Z67" s="65">
        <f t="shared" si="46"/>
        <v>27.759999999999998</v>
      </c>
      <c r="AA67" s="21"/>
      <c r="AB67" s="26"/>
      <c r="AC67" s="26"/>
      <c r="AD67" s="25"/>
      <c r="AE67" s="64">
        <f t="shared" si="25"/>
        <v>0</v>
      </c>
      <c r="AF67" s="21"/>
      <c r="AG67" s="26">
        <v>70.81</v>
      </c>
      <c r="AH67" s="26">
        <v>6.24</v>
      </c>
      <c r="AI67" s="25"/>
      <c r="AJ67" s="64">
        <f t="shared" si="27"/>
        <v>77.05</v>
      </c>
      <c r="AK67" s="26"/>
      <c r="AL67" s="26">
        <v>50.58</v>
      </c>
      <c r="AM67" s="26"/>
      <c r="AN67" s="25"/>
      <c r="AO67" s="64">
        <f t="shared" si="29"/>
        <v>50.58</v>
      </c>
      <c r="AP67" s="21"/>
      <c r="AQ67" s="26">
        <v>174.52</v>
      </c>
      <c r="AR67" s="26"/>
      <c r="AS67" s="25"/>
      <c r="AT67" s="64">
        <f t="shared" si="31"/>
        <v>174.52</v>
      </c>
      <c r="AU67" s="21"/>
      <c r="AV67" s="26">
        <v>174.52</v>
      </c>
      <c r="AW67" s="26">
        <v>26.5</v>
      </c>
      <c r="AX67" s="97">
        <f>CA106</f>
        <v>0</v>
      </c>
      <c r="AY67" s="64">
        <f t="shared" si="33"/>
        <v>201.02</v>
      </c>
      <c r="AZ67" s="131">
        <v>0</v>
      </c>
      <c r="BA67" s="26"/>
      <c r="BB67" s="26"/>
      <c r="BC67" s="25"/>
      <c r="BD67" s="64">
        <f t="shared" si="35"/>
        <v>0</v>
      </c>
      <c r="BE67" s="26"/>
      <c r="BF67" s="26">
        <v>260.202</v>
      </c>
      <c r="BG67" s="26"/>
      <c r="BH67" s="25"/>
      <c r="BI67" s="64">
        <f t="shared" si="37"/>
        <v>260.202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/>
      <c r="C68" s="21"/>
      <c r="D68" s="22"/>
      <c r="E68" s="23">
        <f>G102</f>
        <v>0</v>
      </c>
      <c r="F68" s="64">
        <f t="shared" si="39"/>
        <v>0</v>
      </c>
      <c r="G68" s="23">
        <v>0</v>
      </c>
      <c r="H68" s="21"/>
      <c r="I68" s="22"/>
      <c r="J68" s="23"/>
      <c r="K68" s="64">
        <f t="shared" si="20"/>
        <v>0</v>
      </c>
      <c r="L68" s="21"/>
      <c r="M68" s="21"/>
      <c r="N68" s="21"/>
      <c r="O68" s="25">
        <f>W102</f>
        <v>0</v>
      </c>
      <c r="P68" s="64">
        <f t="shared" si="42"/>
        <v>0</v>
      </c>
      <c r="Q68" s="26">
        <v>0</v>
      </c>
      <c r="R68" s="26">
        <v>18</v>
      </c>
      <c r="S68" s="26"/>
      <c r="T68" s="25"/>
      <c r="U68" s="65">
        <f t="shared" si="44"/>
        <v>18</v>
      </c>
      <c r="V68" s="25"/>
      <c r="W68" s="21"/>
      <c r="X68" s="21"/>
      <c r="Y68" s="25"/>
      <c r="Z68" s="65">
        <f t="shared" si="46"/>
        <v>0</v>
      </c>
      <c r="AA68" s="21"/>
      <c r="AB68" s="26">
        <v>75</v>
      </c>
      <c r="AC68" s="26"/>
      <c r="AD68" s="28"/>
      <c r="AE68" s="64">
        <f t="shared" si="25"/>
        <v>75</v>
      </c>
      <c r="AF68" s="21"/>
      <c r="AG68" s="26"/>
      <c r="AH68" s="26"/>
      <c r="AI68" s="25"/>
      <c r="AJ68" s="64">
        <f t="shared" si="27"/>
        <v>0</v>
      </c>
      <c r="AK68" s="26"/>
      <c r="AL68" s="26"/>
      <c r="AM68" s="26"/>
      <c r="AN68" s="25"/>
      <c r="AO68" s="64">
        <f t="shared" si="29"/>
        <v>0</v>
      </c>
      <c r="AP68" s="21"/>
      <c r="AQ68" s="26"/>
      <c r="AR68" s="26"/>
      <c r="AS68" s="25"/>
      <c r="AT68" s="64">
        <f t="shared" si="31"/>
        <v>0</v>
      </c>
      <c r="AU68" s="21"/>
      <c r="AV68" s="26"/>
      <c r="AW68" s="26"/>
      <c r="AX68" s="97"/>
      <c r="AY68" s="64">
        <f t="shared" si="33"/>
        <v>0</v>
      </c>
      <c r="AZ68" s="131"/>
      <c r="BA68" s="26"/>
      <c r="BB68" s="26"/>
      <c r="BC68" s="25"/>
      <c r="BD68" s="64">
        <f t="shared" si="35"/>
        <v>0</v>
      </c>
      <c r="BE68" s="26"/>
      <c r="BF68" s="26"/>
      <c r="BG68" s="26"/>
      <c r="BH68" s="25"/>
      <c r="BI68" s="64">
        <f t="shared" si="37"/>
        <v>0</v>
      </c>
      <c r="BJ68" s="9" t="s">
        <v>42</v>
      </c>
    </row>
    <row r="69" spans="1:95" s="1" customFormat="1">
      <c r="A69" s="9" t="s">
        <v>39</v>
      </c>
      <c r="B69" s="21"/>
      <c r="C69" s="21">
        <v>23.48</v>
      </c>
      <c r="D69" s="22"/>
      <c r="E69" s="23">
        <f>G106</f>
        <v>0</v>
      </c>
      <c r="F69" s="64">
        <f t="shared" si="39"/>
        <v>23.48</v>
      </c>
      <c r="G69" s="23">
        <v>0</v>
      </c>
      <c r="H69" s="21">
        <v>77.660000000000011</v>
      </c>
      <c r="I69" s="22"/>
      <c r="J69" s="23">
        <f>O106</f>
        <v>0</v>
      </c>
      <c r="K69" s="64">
        <f t="shared" si="20"/>
        <v>77.660000000000011</v>
      </c>
      <c r="L69" s="21">
        <v>0</v>
      </c>
      <c r="M69" s="21">
        <f>57.25+97.2</f>
        <v>154.44999999999999</v>
      </c>
      <c r="N69" s="21"/>
      <c r="O69" s="25">
        <f>W106</f>
        <v>48.6</v>
      </c>
      <c r="P69" s="64">
        <f t="shared" si="42"/>
        <v>105.85</v>
      </c>
      <c r="Q69" s="26">
        <v>48.6</v>
      </c>
      <c r="R69" s="156">
        <f>25.8+97.2</f>
        <v>123</v>
      </c>
      <c r="S69" s="26"/>
      <c r="T69" s="25">
        <f>AE106</f>
        <v>9.4</v>
      </c>
      <c r="U69" s="65">
        <f t="shared" si="44"/>
        <v>162.19999999999999</v>
      </c>
      <c r="V69" s="25">
        <v>9.4</v>
      </c>
      <c r="W69" s="21">
        <f>18+97.2</f>
        <v>115.2</v>
      </c>
      <c r="X69" s="21"/>
      <c r="Y69" s="25">
        <f>AM106</f>
        <v>32.4</v>
      </c>
      <c r="Z69" s="65">
        <f t="shared" si="46"/>
        <v>92.200000000000017</v>
      </c>
      <c r="AA69" s="21">
        <v>32.4</v>
      </c>
      <c r="AB69" s="21">
        <f>42+45.52+129.6</f>
        <v>217.12</v>
      </c>
      <c r="AC69" s="21"/>
      <c r="AD69" s="28"/>
      <c r="AE69" s="64">
        <f t="shared" si="25"/>
        <v>249.52</v>
      </c>
      <c r="AF69" s="21"/>
      <c r="AG69" s="21">
        <f>33.48+129.6</f>
        <v>163.07999999999998</v>
      </c>
      <c r="AH69" s="21"/>
      <c r="AI69" s="25">
        <f>BC106</f>
        <v>48.6</v>
      </c>
      <c r="AJ69" s="64">
        <f>AF69+AG69+AH69-AI69</f>
        <v>114.47999999999999</v>
      </c>
      <c r="AK69" s="26">
        <v>48.6</v>
      </c>
      <c r="AL69" s="26">
        <v>64.8</v>
      </c>
      <c r="AM69" s="26"/>
      <c r="AN69" s="25">
        <f>BK106</f>
        <v>32.4</v>
      </c>
      <c r="AO69" s="64">
        <f t="shared" si="29"/>
        <v>81</v>
      </c>
      <c r="AP69" s="21">
        <v>32.4</v>
      </c>
      <c r="AQ69" s="21">
        <f>41.61+97.2</f>
        <v>138.81</v>
      </c>
      <c r="AR69" s="21"/>
      <c r="AS69" s="25">
        <f>BS106</f>
        <v>16.8</v>
      </c>
      <c r="AT69" s="64">
        <f t="shared" si="31"/>
        <v>154.41</v>
      </c>
      <c r="AU69" s="21">
        <v>16.8</v>
      </c>
      <c r="AV69" s="21">
        <f>47.52+16.2</f>
        <v>63.72</v>
      </c>
      <c r="AW69" s="21"/>
      <c r="AX69" s="97"/>
      <c r="AY69" s="64">
        <f t="shared" si="33"/>
        <v>80.52</v>
      </c>
      <c r="AZ69" s="131"/>
      <c r="BA69" s="26">
        <v>72.78</v>
      </c>
      <c r="BB69" s="26"/>
      <c r="BC69" s="25">
        <f>CI106</f>
        <v>0</v>
      </c>
      <c r="BD69" s="64">
        <f t="shared" si="35"/>
        <v>72.78</v>
      </c>
      <c r="BE69" s="26">
        <v>0</v>
      </c>
      <c r="BF69" s="26"/>
      <c r="BG69" s="26"/>
      <c r="BH69" s="25">
        <f>CP106</f>
        <v>0</v>
      </c>
      <c r="BI69" s="64">
        <f t="shared" si="37"/>
        <v>0</v>
      </c>
      <c r="BJ69" s="9" t="s">
        <v>39</v>
      </c>
      <c r="CL69" s="15"/>
    </row>
    <row r="70" spans="1:95">
      <c r="A70" s="6" t="s">
        <v>35</v>
      </c>
      <c r="B70" s="21"/>
      <c r="C70" s="21">
        <v>56</v>
      </c>
      <c r="D70" s="22"/>
      <c r="E70" s="23">
        <f>G103</f>
        <v>27.200000000000003</v>
      </c>
      <c r="F70" s="64">
        <f t="shared" si="39"/>
        <v>28.799999999999997</v>
      </c>
      <c r="G70" s="23">
        <v>27.200000000000003</v>
      </c>
      <c r="H70" s="21">
        <v>58.800000000000004</v>
      </c>
      <c r="I70" s="22"/>
      <c r="J70" s="23">
        <f>N103</f>
        <v>48.800000000000004</v>
      </c>
      <c r="K70" s="64">
        <f t="shared" si="20"/>
        <v>37.199999999999996</v>
      </c>
      <c r="L70" s="21">
        <v>48.800000000000004</v>
      </c>
      <c r="M70" s="21">
        <f>23.04+58.8</f>
        <v>81.84</v>
      </c>
      <c r="N70" s="21"/>
      <c r="O70" s="25">
        <f>W103</f>
        <v>10.8</v>
      </c>
      <c r="P70" s="64">
        <f t="shared" si="42"/>
        <v>119.84000000000002</v>
      </c>
      <c r="Q70" s="26">
        <v>10.8</v>
      </c>
      <c r="R70" s="156">
        <f>20.59+58.8</f>
        <v>79.39</v>
      </c>
      <c r="S70" s="26"/>
      <c r="T70" s="25">
        <f>AE103</f>
        <v>75.600000000000009</v>
      </c>
      <c r="U70" s="65">
        <f t="shared" si="44"/>
        <v>14.589999999999989</v>
      </c>
      <c r="V70" s="25">
        <v>75.600000000000009</v>
      </c>
      <c r="W70" s="21">
        <v>26.230000000000004</v>
      </c>
      <c r="X70" s="21"/>
      <c r="Y70" s="25"/>
      <c r="Z70" s="65">
        <f t="shared" si="46"/>
        <v>101.83000000000001</v>
      </c>
      <c r="AA70" s="21"/>
      <c r="AB70" s="21">
        <v>52.42</v>
      </c>
      <c r="AC70" s="21"/>
      <c r="AD70" s="28"/>
      <c r="AE70" s="64">
        <f t="shared" si="25"/>
        <v>52.42</v>
      </c>
      <c r="AF70" s="21"/>
      <c r="AG70" s="21"/>
      <c r="AH70" s="21"/>
      <c r="AI70" s="25"/>
      <c r="AJ70" s="64">
        <f t="shared" si="27"/>
        <v>0</v>
      </c>
      <c r="AK70" s="26"/>
      <c r="AL70" s="26">
        <v>21</v>
      </c>
      <c r="AM70" s="26"/>
      <c r="AN70" s="25"/>
      <c r="AO70" s="64">
        <f t="shared" si="29"/>
        <v>21</v>
      </c>
      <c r="AP70" s="21"/>
      <c r="AQ70" s="21">
        <v>95.2</v>
      </c>
      <c r="AR70" s="21"/>
      <c r="AS70" s="25"/>
      <c r="AT70" s="64">
        <f t="shared" si="31"/>
        <v>95.2</v>
      </c>
      <c r="AU70" s="21"/>
      <c r="AV70" s="21"/>
      <c r="AW70" s="21"/>
      <c r="AX70" s="97"/>
      <c r="AY70" s="64">
        <f t="shared" si="33"/>
        <v>0</v>
      </c>
      <c r="AZ70" s="131"/>
      <c r="BA70" s="26">
        <v>43.96</v>
      </c>
      <c r="BB70" s="26"/>
      <c r="BC70" s="25"/>
      <c r="BD70" s="64">
        <f t="shared" si="35"/>
        <v>43.96</v>
      </c>
      <c r="BE70" s="26"/>
      <c r="BF70" s="26"/>
      <c r="BG70" s="26"/>
      <c r="BH70" s="25"/>
      <c r="BI70" s="64">
        <f t="shared" si="37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/>
      <c r="C71" s="29"/>
      <c r="D71" s="106"/>
      <c r="E71" s="23"/>
      <c r="F71" s="64">
        <f t="shared" si="39"/>
        <v>0</v>
      </c>
      <c r="G71" s="23"/>
      <c r="H71" s="29"/>
      <c r="I71" s="106"/>
      <c r="J71" s="23"/>
      <c r="K71" s="64">
        <f t="shared" si="20"/>
        <v>0</v>
      </c>
      <c r="L71" s="21"/>
      <c r="M71" s="21"/>
      <c r="N71" s="29"/>
      <c r="O71" s="25">
        <v>0</v>
      </c>
      <c r="P71" s="64">
        <f t="shared" si="42"/>
        <v>0</v>
      </c>
      <c r="Q71" s="26">
        <v>0</v>
      </c>
      <c r="R71" s="115"/>
      <c r="S71" s="115"/>
      <c r="T71" s="25"/>
      <c r="U71" s="65">
        <f t="shared" si="44"/>
        <v>0</v>
      </c>
      <c r="V71" s="25"/>
      <c r="W71" s="29"/>
      <c r="X71" s="29"/>
      <c r="Y71" s="25"/>
      <c r="Z71" s="65">
        <f t="shared" si="46"/>
        <v>0</v>
      </c>
      <c r="AA71" s="21"/>
      <c r="AB71" s="29"/>
      <c r="AC71" s="29"/>
      <c r="AD71" s="28"/>
      <c r="AE71" s="64">
        <f t="shared" si="25"/>
        <v>0</v>
      </c>
      <c r="AF71" s="21"/>
      <c r="AG71" s="29">
        <v>111.08</v>
      </c>
      <c r="AH71" s="29"/>
      <c r="AI71" s="25"/>
      <c r="AJ71" s="64">
        <f t="shared" si="27"/>
        <v>111.08</v>
      </c>
      <c r="AK71" s="26"/>
      <c r="AL71" s="115">
        <v>315</v>
      </c>
      <c r="AM71" s="115"/>
      <c r="AN71" s="25"/>
      <c r="AO71" s="64">
        <f t="shared" si="29"/>
        <v>315</v>
      </c>
      <c r="AP71" s="21"/>
      <c r="AQ71" s="29">
        <v>472</v>
      </c>
      <c r="AR71" s="29"/>
      <c r="AS71" s="25"/>
      <c r="AT71" s="64">
        <f t="shared" si="31"/>
        <v>472</v>
      </c>
      <c r="AU71" s="21"/>
      <c r="AV71" s="29">
        <v>35</v>
      </c>
      <c r="AW71" s="29"/>
      <c r="AX71" s="97"/>
      <c r="AY71" s="64">
        <f t="shared" si="33"/>
        <v>35</v>
      </c>
      <c r="AZ71" s="131"/>
      <c r="BA71" s="115">
        <v>28</v>
      </c>
      <c r="BB71" s="25"/>
      <c r="BC71" s="25"/>
      <c r="BD71" s="64">
        <f t="shared" si="35"/>
        <v>28</v>
      </c>
      <c r="BE71" s="26"/>
      <c r="BF71" s="115">
        <v>58</v>
      </c>
      <c r="BG71" s="115"/>
      <c r="BH71" s="25"/>
      <c r="BI71" s="64">
        <f t="shared" si="37"/>
        <v>58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6" t="s">
        <v>34</v>
      </c>
      <c r="B72" s="21"/>
      <c r="C72" s="21">
        <v>240</v>
      </c>
      <c r="D72" s="22"/>
      <c r="E72" s="23">
        <f>G105</f>
        <v>0</v>
      </c>
      <c r="F72" s="64">
        <f>(B72+C72+D72)-E72</f>
        <v>240</v>
      </c>
      <c r="G72" s="144">
        <v>0</v>
      </c>
      <c r="H72" s="21">
        <v>240</v>
      </c>
      <c r="I72" s="22">
        <v>152</v>
      </c>
      <c r="J72" s="23"/>
      <c r="K72" s="64">
        <f t="shared" si="20"/>
        <v>392</v>
      </c>
      <c r="L72" s="21"/>
      <c r="M72" s="21">
        <f>30.4+183.6</f>
        <v>214</v>
      </c>
      <c r="N72" s="21"/>
      <c r="O72" s="24">
        <f>W105</f>
        <v>51.424999999999997</v>
      </c>
      <c r="P72" s="64">
        <f>(L72+M72+N72)-O72</f>
        <v>162.57499999999999</v>
      </c>
      <c r="Q72" s="26">
        <v>51.424999999999997</v>
      </c>
      <c r="R72" s="26">
        <f>430+183.6</f>
        <v>613.6</v>
      </c>
      <c r="S72" s="26"/>
      <c r="T72" s="24">
        <f>AE105</f>
        <v>21.25</v>
      </c>
      <c r="U72" s="64">
        <f>(Q72+R72+S72)-T72</f>
        <v>643.77499999999998</v>
      </c>
      <c r="V72" s="24">
        <v>21.25</v>
      </c>
      <c r="W72" s="21">
        <f>269.08+183.6</f>
        <v>452.67999999999995</v>
      </c>
      <c r="X72" s="21"/>
      <c r="Y72" s="24">
        <f>AM105</f>
        <v>25.5</v>
      </c>
      <c r="Z72" s="64">
        <f>(V72+W72+X72)-Y72</f>
        <v>448.42999999999995</v>
      </c>
      <c r="AA72" s="21">
        <v>25.5</v>
      </c>
      <c r="AB72" s="21">
        <f>287.21+244.8</f>
        <v>532.01</v>
      </c>
      <c r="AC72" s="21"/>
      <c r="AD72" s="27">
        <f>AU106</f>
        <v>16.2</v>
      </c>
      <c r="AE72" s="64">
        <f>AA72+AB72+AC72-AD72</f>
        <v>541.30999999999995</v>
      </c>
      <c r="AF72" s="21">
        <v>16.2</v>
      </c>
      <c r="AG72" s="29">
        <v>332.11</v>
      </c>
      <c r="AH72" s="21"/>
      <c r="AI72" s="24">
        <f>BC105</f>
        <v>0</v>
      </c>
      <c r="AJ72" s="64">
        <f>AF72+AG72+AH72-AI72</f>
        <v>348.31</v>
      </c>
      <c r="AK72" s="26">
        <v>0</v>
      </c>
      <c r="AL72" s="26">
        <v>192.28</v>
      </c>
      <c r="AM72" s="26"/>
      <c r="AN72" s="24"/>
      <c r="AO72" s="64">
        <f>AK72+AL72+AM72-AN72</f>
        <v>192.28</v>
      </c>
      <c r="AP72" s="21"/>
      <c r="AQ72" s="21">
        <v>268.28999999999996</v>
      </c>
      <c r="AR72" s="21"/>
      <c r="AS72" s="24"/>
      <c r="AT72" s="64">
        <f>AP72+AQ72+AR72-AS72</f>
        <v>268.28999999999996</v>
      </c>
      <c r="AU72" s="21"/>
      <c r="AV72" s="21">
        <v>294.5</v>
      </c>
      <c r="AW72" s="21"/>
      <c r="AX72" s="137"/>
      <c r="AY72" s="64">
        <f>AU72+AV72+AW72-AX72</f>
        <v>294.5</v>
      </c>
      <c r="AZ72" s="157"/>
      <c r="BA72" s="26">
        <f>278.02+61.2</f>
        <v>339.21999999999997</v>
      </c>
      <c r="BB72" s="24">
        <v>66</v>
      </c>
      <c r="BC72" s="24"/>
      <c r="BD72" s="64">
        <f t="shared" si="35"/>
        <v>405.21999999999997</v>
      </c>
      <c r="BE72" s="26"/>
      <c r="BF72" s="26">
        <f>247.31+122.4</f>
        <v>369.71000000000004</v>
      </c>
      <c r="BG72" s="26">
        <v>60</v>
      </c>
      <c r="BH72" s="24"/>
      <c r="BI72" s="64">
        <f>BE72+BF72+BG72-BH72</f>
        <v>429.71000000000004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98</v>
      </c>
      <c r="B73" s="138"/>
      <c r="C73" s="138"/>
      <c r="D73" s="139"/>
      <c r="E73" s="23"/>
      <c r="F73" s="64">
        <f>(B73+C73+D73)-E73</f>
        <v>0</v>
      </c>
      <c r="G73" s="145"/>
      <c r="H73" s="138"/>
      <c r="I73" s="139">
        <v>3</v>
      </c>
      <c r="J73" s="23"/>
      <c r="K73" s="64">
        <f t="shared" si="20"/>
        <v>3</v>
      </c>
      <c r="L73" s="138"/>
      <c r="M73" s="138"/>
      <c r="N73" s="138"/>
      <c r="O73" s="140"/>
      <c r="P73" s="64">
        <f>(L73+M73+N73)-O73</f>
        <v>0</v>
      </c>
      <c r="Q73" s="143"/>
      <c r="R73" s="143"/>
      <c r="S73" s="143"/>
      <c r="T73" s="140">
        <v>0</v>
      </c>
      <c r="U73" s="64">
        <f>(Q73+R73+S73)-T73</f>
        <v>0</v>
      </c>
      <c r="V73" s="140">
        <v>0</v>
      </c>
      <c r="W73" s="138"/>
      <c r="X73" s="138">
        <v>19</v>
      </c>
      <c r="Y73" s="140"/>
      <c r="Z73" s="64">
        <f>(V73+W73+X73)-Y73</f>
        <v>19</v>
      </c>
      <c r="AA73" s="138"/>
      <c r="AB73" s="138"/>
      <c r="AC73" s="138"/>
      <c r="AD73" s="141"/>
      <c r="AE73" s="64">
        <f>AA73+AB73+AC73-AD73</f>
        <v>0</v>
      </c>
      <c r="AF73" s="138"/>
      <c r="AG73" s="138"/>
      <c r="AH73" s="138"/>
      <c r="AI73" s="140"/>
      <c r="AJ73" s="64">
        <f>AF73+AG73+AH73-AI73</f>
        <v>0</v>
      </c>
      <c r="AK73" s="143"/>
      <c r="AL73" s="143"/>
      <c r="AM73" s="143"/>
      <c r="AN73" s="140"/>
      <c r="AO73" s="64">
        <f>AK73+AL73+AM73-AN73</f>
        <v>0</v>
      </c>
      <c r="AP73" s="138"/>
      <c r="AQ73" s="138"/>
      <c r="AR73" s="138"/>
      <c r="AS73" s="140"/>
      <c r="AT73" s="64">
        <f>AP73+AQ73+AR73-AS73</f>
        <v>0</v>
      </c>
      <c r="AU73" s="138"/>
      <c r="AV73" s="138"/>
      <c r="AW73" s="138"/>
      <c r="AX73" s="142"/>
      <c r="AY73" s="64">
        <f>AU73+AV73+AW73-AX73</f>
        <v>0</v>
      </c>
      <c r="AZ73" s="158"/>
      <c r="BA73" s="143"/>
      <c r="BB73" s="143"/>
      <c r="BC73" s="140"/>
      <c r="BD73" s="64">
        <f>AZ73+BA73+BB73-BC73</f>
        <v>0</v>
      </c>
      <c r="BE73" s="143"/>
      <c r="BF73" s="143"/>
      <c r="BG73" s="143"/>
      <c r="BH73" s="140"/>
      <c r="BI73" s="64">
        <f>BE73+BF73+BG73-BH73</f>
        <v>0</v>
      </c>
      <c r="BJ73" s="14" t="s">
        <v>98</v>
      </c>
      <c r="CJ73" s="165">
        <f>482-482</f>
        <v>0</v>
      </c>
      <c r="CM73" s="1">
        <f>88+482</f>
        <v>570</v>
      </c>
      <c r="CO73" s="1">
        <f>68.4/0.16</f>
        <v>427.5</v>
      </c>
    </row>
    <row r="74" spans="1:95" ht="19.5" thickBot="1">
      <c r="A74" s="1"/>
      <c r="B74" s="123">
        <f>SUM(B44:B73)</f>
        <v>2068.9900000000002</v>
      </c>
      <c r="C74" s="123">
        <f t="shared" ref="C74:BI74" si="54">SUM(C44:C73)</f>
        <v>3119.18</v>
      </c>
      <c r="D74" s="123">
        <f t="shared" si="54"/>
        <v>224.04</v>
      </c>
      <c r="E74" s="123">
        <f t="shared" si="54"/>
        <v>2429.5601522842635</v>
      </c>
      <c r="F74" s="123">
        <f t="shared" si="54"/>
        <v>3007.9998477157365</v>
      </c>
      <c r="G74" s="123">
        <f t="shared" si="54"/>
        <v>2429.5601522842635</v>
      </c>
      <c r="H74" s="123">
        <f t="shared" si="54"/>
        <v>3141.67</v>
      </c>
      <c r="I74" s="123">
        <f t="shared" si="54"/>
        <v>475.79999999999995</v>
      </c>
      <c r="J74" s="123">
        <f t="shared" si="54"/>
        <v>1972.1529187817259</v>
      </c>
      <c r="K74" s="123">
        <f t="shared" si="54"/>
        <v>4074.8772335025374</v>
      </c>
      <c r="L74" s="123">
        <f t="shared" si="54"/>
        <v>1972.1529187817259</v>
      </c>
      <c r="M74" s="123">
        <f t="shared" si="54"/>
        <v>3095.79</v>
      </c>
      <c r="N74" s="123">
        <f t="shared" si="54"/>
        <v>622.52999999999986</v>
      </c>
      <c r="O74" s="123">
        <f t="shared" si="54"/>
        <v>2090.6557868020304</v>
      </c>
      <c r="P74" s="123">
        <f t="shared" si="54"/>
        <v>3599.8171319796957</v>
      </c>
      <c r="Q74" s="123">
        <f t="shared" si="54"/>
        <v>2090.6557868020304</v>
      </c>
      <c r="R74" s="123">
        <f>SUM(R44:R73)</f>
        <v>3407.5599999999995</v>
      </c>
      <c r="S74" s="123">
        <f t="shared" si="54"/>
        <v>604.48500000000013</v>
      </c>
      <c r="T74" s="123">
        <f t="shared" si="54"/>
        <v>1685.12</v>
      </c>
      <c r="U74" s="123">
        <f t="shared" si="54"/>
        <v>4417.5807868020302</v>
      </c>
      <c r="V74" s="123">
        <f t="shared" si="54"/>
        <v>1685.12</v>
      </c>
      <c r="W74" s="123">
        <f t="shared" si="54"/>
        <v>3105.2799999999997</v>
      </c>
      <c r="X74" s="123">
        <f t="shared" si="54"/>
        <v>598.03999999999985</v>
      </c>
      <c r="Y74" s="123">
        <f t="shared" si="54"/>
        <v>1331.92</v>
      </c>
      <c r="Z74" s="123">
        <f t="shared" si="54"/>
        <v>4056.5199999999995</v>
      </c>
      <c r="AA74" s="123">
        <f t="shared" si="54"/>
        <v>1331.92</v>
      </c>
      <c r="AB74" s="123">
        <f t="shared" si="54"/>
        <v>3976.46</v>
      </c>
      <c r="AC74" s="123">
        <f t="shared" si="54"/>
        <v>545.73</v>
      </c>
      <c r="AD74" s="123">
        <f t="shared" si="54"/>
        <v>1323.4700000000003</v>
      </c>
      <c r="AE74" s="123">
        <f t="shared" si="54"/>
        <v>4530.6400000000003</v>
      </c>
      <c r="AF74" s="123">
        <f t="shared" si="54"/>
        <v>1323.4700000000003</v>
      </c>
      <c r="AG74" s="123">
        <f t="shared" si="54"/>
        <v>4231.84</v>
      </c>
      <c r="AH74" s="123">
        <f t="shared" si="54"/>
        <v>137.42500000000001</v>
      </c>
      <c r="AI74" s="123">
        <f t="shared" si="54"/>
        <v>2025.66</v>
      </c>
      <c r="AJ74" s="123">
        <f t="shared" si="54"/>
        <v>3667.0750000000003</v>
      </c>
      <c r="AK74" s="123">
        <f t="shared" si="54"/>
        <v>2025.66</v>
      </c>
      <c r="AL74" s="123">
        <f t="shared" si="54"/>
        <v>2315.7829999999999</v>
      </c>
      <c r="AM74" s="123">
        <f t="shared" si="54"/>
        <v>236.77999999999997</v>
      </c>
      <c r="AN74" s="123">
        <f t="shared" si="54"/>
        <v>1686.9999999999998</v>
      </c>
      <c r="AO74" s="123">
        <f t="shared" si="54"/>
        <v>2891.223</v>
      </c>
      <c r="AP74" s="123">
        <f t="shared" si="54"/>
        <v>1686.9999999999998</v>
      </c>
      <c r="AQ74" s="123">
        <f t="shared" si="54"/>
        <v>3731.0299999999993</v>
      </c>
      <c r="AR74" s="123">
        <f t="shared" si="54"/>
        <v>204.1</v>
      </c>
      <c r="AS74" s="123">
        <f t="shared" si="54"/>
        <v>1421.7599999999998</v>
      </c>
      <c r="AT74" s="123">
        <f t="shared" si="54"/>
        <v>4200.3700000000008</v>
      </c>
      <c r="AU74" s="123">
        <f t="shared" si="54"/>
        <v>1421.7599999999998</v>
      </c>
      <c r="AV74" s="123">
        <f t="shared" si="54"/>
        <v>3145.8900000000003</v>
      </c>
      <c r="AW74" s="123">
        <f t="shared" si="54"/>
        <v>785.54000000000019</v>
      </c>
      <c r="AX74" s="123">
        <f t="shared" si="54"/>
        <v>1270.28</v>
      </c>
      <c r="AY74" s="123">
        <f t="shared" si="54"/>
        <v>4082.91</v>
      </c>
      <c r="AZ74" s="123">
        <f t="shared" si="54"/>
        <v>1270.28</v>
      </c>
      <c r="BA74" s="123">
        <f t="shared" si="54"/>
        <v>2822.4400000000005</v>
      </c>
      <c r="BB74" s="123">
        <f t="shared" si="54"/>
        <v>371.01000000000005</v>
      </c>
      <c r="BC74" s="123">
        <f>SUM(BC44:BC72)</f>
        <v>1528.5800000000004</v>
      </c>
      <c r="BD74" s="123">
        <f t="shared" si="54"/>
        <v>2935.1500000000005</v>
      </c>
      <c r="BE74" s="123">
        <f t="shared" si="54"/>
        <v>1528.5800000000004</v>
      </c>
      <c r="BF74" s="123">
        <f t="shared" si="54"/>
        <v>4339.973</v>
      </c>
      <c r="BG74" s="123">
        <f t="shared" si="54"/>
        <v>347.96</v>
      </c>
      <c r="BH74" s="123">
        <f t="shared" si="54"/>
        <v>2182.71</v>
      </c>
      <c r="BI74" s="155">
        <f t="shared" si="54"/>
        <v>4033.8030000000008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J76" s="1"/>
      <c r="K76" s="1"/>
      <c r="L76" s="1"/>
      <c r="M76" s="1"/>
      <c r="N76" s="1"/>
      <c r="O76" s="1"/>
      <c r="P76" s="1"/>
      <c r="AB76" s="89"/>
      <c r="BH76" s="89"/>
      <c r="BJ76" s="1"/>
      <c r="BK76" s="1"/>
      <c r="BL76" s="1"/>
      <c r="BM76" s="1"/>
      <c r="BN76" s="1"/>
    </row>
    <row r="77" spans="1:95">
      <c r="C77"/>
      <c r="G77" s="89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>
        <f>96+60</f>
        <v>156</v>
      </c>
      <c r="C78">
        <f>22*0.4</f>
        <v>8.8000000000000007</v>
      </c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101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100</v>
      </c>
      <c r="CH78" s="16"/>
      <c r="CI78" s="1"/>
      <c r="CK78" s="18" t="s">
        <v>44</v>
      </c>
      <c r="CL78" s="17"/>
      <c r="CM78" s="17"/>
      <c r="CO78" s="17" t="s">
        <v>78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80</v>
      </c>
      <c r="G79" s="79" t="s">
        <v>81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80</v>
      </c>
      <c r="O79" s="79" t="s">
        <v>81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80</v>
      </c>
      <c r="W79" s="79" t="s">
        <v>81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80</v>
      </c>
      <c r="AE79" s="79" t="s">
        <v>81</v>
      </c>
      <c r="AF79" s="77"/>
      <c r="AG79" s="80"/>
      <c r="AH79" s="76" t="s">
        <v>53</v>
      </c>
      <c r="AI79" s="77" t="s">
        <v>82</v>
      </c>
      <c r="AJ79" s="76"/>
      <c r="AK79" s="76" t="s">
        <v>47</v>
      </c>
      <c r="AL79" s="78" t="s">
        <v>80</v>
      </c>
      <c r="AM79" s="79" t="s">
        <v>81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80</v>
      </c>
      <c r="AU79" s="79" t="s">
        <v>81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80</v>
      </c>
      <c r="BC79" s="79" t="s">
        <v>81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80</v>
      </c>
      <c r="BK79" s="79" t="s">
        <v>81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80</v>
      </c>
      <c r="BS79" s="79" t="s">
        <v>81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80</v>
      </c>
      <c r="CA79" s="79" t="s">
        <v>81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80</v>
      </c>
      <c r="CI79" s="79" t="s">
        <v>81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80</v>
      </c>
      <c r="CQ79" s="79" t="s">
        <v>81</v>
      </c>
    </row>
    <row r="80" spans="1:95">
      <c r="A80" s="19" t="s">
        <v>6</v>
      </c>
      <c r="B80" s="15">
        <v>12</v>
      </c>
      <c r="C80" s="15">
        <v>12</v>
      </c>
      <c r="D80" s="15">
        <v>0.7</v>
      </c>
      <c r="E80" s="84">
        <f t="shared" ref="E80:E106" si="55">B80*D80</f>
        <v>8.3999999999999986</v>
      </c>
      <c r="F80" s="82">
        <f>C80*D80</f>
        <v>8.3999999999999986</v>
      </c>
      <c r="G80" s="81">
        <f>E80+F80</f>
        <v>16.799999999999997</v>
      </c>
      <c r="I80" s="19" t="s">
        <v>6</v>
      </c>
      <c r="J80" s="15">
        <v>26</v>
      </c>
      <c r="K80" s="15">
        <v>0</v>
      </c>
      <c r="L80" s="15">
        <v>0.7</v>
      </c>
      <c r="M80" s="15">
        <f t="shared" ref="M80:M106" si="56">J80*L80</f>
        <v>18.2</v>
      </c>
      <c r="N80" s="82">
        <f>K80*L80</f>
        <v>0</v>
      </c>
      <c r="O80" s="81">
        <f>M80+N80</f>
        <v>18.2</v>
      </c>
      <c r="Q80" s="19" t="s">
        <v>6</v>
      </c>
      <c r="R80" s="15">
        <v>63</v>
      </c>
      <c r="S80" s="15">
        <v>0</v>
      </c>
      <c r="T80" s="15">
        <v>0.7</v>
      </c>
      <c r="U80" s="15">
        <f t="shared" ref="U80:U106" si="57">R80*T80</f>
        <v>44.099999999999994</v>
      </c>
      <c r="V80" s="19">
        <f>S80*T80</f>
        <v>0</v>
      </c>
      <c r="W80" s="81">
        <f>U80+V80</f>
        <v>44.099999999999994</v>
      </c>
      <c r="Y80" s="19" t="s">
        <v>6</v>
      </c>
      <c r="Z80" s="15">
        <v>86</v>
      </c>
      <c r="AA80" s="15">
        <v>98</v>
      </c>
      <c r="AB80" s="15">
        <v>0.7</v>
      </c>
      <c r="AC80" s="15">
        <f t="shared" ref="AC80:AC106" si="58">Z80*AB80</f>
        <v>60.199999999999996</v>
      </c>
      <c r="AD80" s="19">
        <f>AA80*AB80</f>
        <v>68.599999999999994</v>
      </c>
      <c r="AE80" s="81">
        <f>AC80+AD80</f>
        <v>128.79999999999998</v>
      </c>
      <c r="AG80" s="19" t="s">
        <v>6</v>
      </c>
      <c r="AH80" s="15">
        <v>56</v>
      </c>
      <c r="AI80" s="15">
        <v>113</v>
      </c>
      <c r="AJ80" s="15">
        <v>0.7</v>
      </c>
      <c r="AK80" s="15">
        <f t="shared" ref="AK80:AK99" si="59">AH80*AJ80</f>
        <v>39.199999999999996</v>
      </c>
      <c r="AL80" s="19">
        <f>AI80*AJ80</f>
        <v>79.099999999999994</v>
      </c>
      <c r="AM80" s="81">
        <f>AK80+AL80</f>
        <v>118.29999999999998</v>
      </c>
      <c r="AO80" s="19" t="s">
        <v>6</v>
      </c>
      <c r="AP80" s="15">
        <v>76</v>
      </c>
      <c r="AQ80" s="15">
        <v>90</v>
      </c>
      <c r="AR80" s="15">
        <v>0.7</v>
      </c>
      <c r="AS80" s="15">
        <f t="shared" ref="AS80:AS106" si="60">AP80*AR80</f>
        <v>53.199999999999996</v>
      </c>
      <c r="AT80" s="19">
        <f>AQ80*AR80</f>
        <v>62.999999999999993</v>
      </c>
      <c r="AU80" s="15">
        <f>AS80+AT80</f>
        <v>116.19999999999999</v>
      </c>
      <c r="AW80" s="19" t="s">
        <v>6</v>
      </c>
      <c r="AX80" s="15">
        <v>78</v>
      </c>
      <c r="AY80" s="15">
        <v>220</v>
      </c>
      <c r="AZ80" s="15">
        <v>0.7</v>
      </c>
      <c r="BA80" s="15">
        <f t="shared" ref="BA80:BA106" si="61">AX80*AZ80</f>
        <v>54.599999999999994</v>
      </c>
      <c r="BB80" s="19">
        <f>AY80*AZ80</f>
        <v>154</v>
      </c>
      <c r="BC80" s="15">
        <f>BA80+BB80</f>
        <v>208.6</v>
      </c>
      <c r="BD80" s="1"/>
      <c r="BE80" s="19" t="s">
        <v>6</v>
      </c>
      <c r="BF80" s="15">
        <v>41</v>
      </c>
      <c r="BG80" s="15">
        <v>172</v>
      </c>
      <c r="BH80" s="15">
        <v>0.7</v>
      </c>
      <c r="BI80" s="15">
        <f t="shared" ref="BI80:BI106" si="62">BF80*BH80</f>
        <v>28.7</v>
      </c>
      <c r="BJ80" s="19">
        <f>BG80*BH80</f>
        <v>120.39999999999999</v>
      </c>
      <c r="BK80" s="15">
        <f>BI80+BJ80</f>
        <v>149.1</v>
      </c>
      <c r="BL80" s="1"/>
      <c r="BM80" s="19" t="s">
        <v>6</v>
      </c>
      <c r="BN80" s="15">
        <v>65</v>
      </c>
      <c r="BO80" s="15">
        <f>45+80</f>
        <v>125</v>
      </c>
      <c r="BP80" s="15">
        <v>0.7</v>
      </c>
      <c r="BQ80" s="15">
        <f t="shared" ref="BQ80:BQ106" si="63">BN80*BP80</f>
        <v>45.5</v>
      </c>
      <c r="BR80" s="19">
        <f>BO80*BP80</f>
        <v>87.5</v>
      </c>
      <c r="BS80" s="15">
        <f>BQ80+BR80</f>
        <v>133</v>
      </c>
      <c r="BU80" s="19" t="s">
        <v>6</v>
      </c>
      <c r="BV80" s="15">
        <v>54</v>
      </c>
      <c r="BW80" s="15">
        <v>36</v>
      </c>
      <c r="BX80" s="15">
        <v>0.7</v>
      </c>
      <c r="BY80" s="15">
        <f t="shared" ref="BY80:BY106" si="64">BV80*BX80</f>
        <v>37.799999999999997</v>
      </c>
      <c r="BZ80" s="19">
        <f>BW80*BX80</f>
        <v>25.2</v>
      </c>
      <c r="CA80" s="81">
        <f>BY80+BZ80</f>
        <v>63</v>
      </c>
      <c r="CC80" s="19" t="s">
        <v>6</v>
      </c>
      <c r="CD80" s="15">
        <v>36</v>
      </c>
      <c r="CE80" s="15">
        <v>0</v>
      </c>
      <c r="CF80" s="15">
        <v>0.7</v>
      </c>
      <c r="CG80" s="15">
        <f t="shared" ref="CG80:CG106" si="65">CD80*CF80</f>
        <v>25.2</v>
      </c>
      <c r="CH80" s="19">
        <f>CE80*CF80</f>
        <v>0</v>
      </c>
      <c r="CI80" s="84">
        <f>CG80+CH80</f>
        <v>25.2</v>
      </c>
      <c r="CK80" s="19" t="s">
        <v>6</v>
      </c>
      <c r="CL80" s="15">
        <v>43</v>
      </c>
      <c r="CM80" s="15">
        <v>72</v>
      </c>
      <c r="CN80" s="15">
        <v>0.7</v>
      </c>
      <c r="CO80" s="15">
        <f t="shared" ref="CO80:CO106" si="66">CL80*CN80</f>
        <v>30.099999999999998</v>
      </c>
      <c r="CP80" s="19">
        <f>CM80*CN80</f>
        <v>50.4</v>
      </c>
      <c r="CQ80" s="15">
        <f>CO80+CP80</f>
        <v>80.5</v>
      </c>
    </row>
    <row r="81" spans="1:95">
      <c r="A81" s="19" t="s">
        <v>7</v>
      </c>
      <c r="B81" s="15">
        <v>4</v>
      </c>
      <c r="C81" s="15">
        <v>104</v>
      </c>
      <c r="D81" s="15">
        <v>1</v>
      </c>
      <c r="E81" s="84">
        <f t="shared" si="55"/>
        <v>4</v>
      </c>
      <c r="F81" s="82">
        <f>C81*D81</f>
        <v>104</v>
      </c>
      <c r="G81" s="81">
        <f t="shared" ref="G81:G106" si="67">E81+F81</f>
        <v>108</v>
      </c>
      <c r="H81" s="1"/>
      <c r="I81" s="19" t="s">
        <v>7</v>
      </c>
      <c r="J81" s="15">
        <v>28</v>
      </c>
      <c r="K81" s="15">
        <v>163</v>
      </c>
      <c r="L81" s="15">
        <v>1</v>
      </c>
      <c r="M81" s="15">
        <f t="shared" si="56"/>
        <v>28</v>
      </c>
      <c r="N81" s="82">
        <f>K81*L81</f>
        <v>163</v>
      </c>
      <c r="O81" s="81">
        <f>M81+N81</f>
        <v>191</v>
      </c>
      <c r="P81" s="1"/>
      <c r="Q81" s="19" t="s">
        <v>7</v>
      </c>
      <c r="R81" s="15">
        <v>87</v>
      </c>
      <c r="S81" s="15">
        <v>42</v>
      </c>
      <c r="T81" s="15">
        <v>1</v>
      </c>
      <c r="U81" s="15">
        <f t="shared" si="57"/>
        <v>87</v>
      </c>
      <c r="V81" s="19">
        <f>S81*T81</f>
        <v>42</v>
      </c>
      <c r="W81" s="81">
        <f t="shared" ref="W81:W106" si="68">U81+V81</f>
        <v>129</v>
      </c>
      <c r="X81" s="1"/>
      <c r="Y81" s="19" t="s">
        <v>7</v>
      </c>
      <c r="Z81" s="15">
        <v>37</v>
      </c>
      <c r="AA81" s="15">
        <v>59</v>
      </c>
      <c r="AB81" s="15">
        <v>1</v>
      </c>
      <c r="AC81" s="15">
        <f t="shared" si="58"/>
        <v>37</v>
      </c>
      <c r="AD81" s="19">
        <f>AA81*AB81</f>
        <v>59</v>
      </c>
      <c r="AE81" s="81">
        <f t="shared" ref="AE81:AE106" si="69">AC81+AD81</f>
        <v>96</v>
      </c>
      <c r="AF81" s="1"/>
      <c r="AG81" s="19" t="s">
        <v>7</v>
      </c>
      <c r="AH81" s="15">
        <v>18</v>
      </c>
      <c r="AI81" s="15">
        <v>83</v>
      </c>
      <c r="AJ81" s="15">
        <v>1</v>
      </c>
      <c r="AK81" s="15">
        <f t="shared" si="59"/>
        <v>18</v>
      </c>
      <c r="AL81" s="19">
        <f>AI81*AJ81</f>
        <v>83</v>
      </c>
      <c r="AM81" s="81">
        <f t="shared" ref="AM81:AM100" si="70">AK81+AL81</f>
        <v>101</v>
      </c>
      <c r="AN81" s="1"/>
      <c r="AO81" s="19" t="s">
        <v>7</v>
      </c>
      <c r="AP81" s="15">
        <v>43</v>
      </c>
      <c r="AQ81" s="15">
        <v>0</v>
      </c>
      <c r="AR81" s="15">
        <v>1</v>
      </c>
      <c r="AS81" s="15">
        <f t="shared" si="60"/>
        <v>43</v>
      </c>
      <c r="AT81" s="19">
        <f>AQ81*AR81</f>
        <v>0</v>
      </c>
      <c r="AU81" s="15">
        <f t="shared" ref="AU81:AU106" si="71">AS81+AT81</f>
        <v>43</v>
      </c>
      <c r="AV81" s="1"/>
      <c r="AW81" s="19" t="s">
        <v>7</v>
      </c>
      <c r="AX81" s="15">
        <v>14</v>
      </c>
      <c r="AY81" s="15">
        <v>121</v>
      </c>
      <c r="AZ81" s="15">
        <v>1</v>
      </c>
      <c r="BA81" s="15">
        <f t="shared" si="61"/>
        <v>14</v>
      </c>
      <c r="BB81" s="19">
        <f>AY81*AZ81</f>
        <v>121</v>
      </c>
      <c r="BC81" s="15">
        <f t="shared" ref="BC81:BC106" si="72">BA81+BB81</f>
        <v>135</v>
      </c>
      <c r="BE81" s="19" t="s">
        <v>7</v>
      </c>
      <c r="BF81" s="15">
        <v>14</v>
      </c>
      <c r="BG81" s="15">
        <v>84</v>
      </c>
      <c r="BH81" s="15">
        <v>1</v>
      </c>
      <c r="BI81" s="15">
        <f t="shared" si="62"/>
        <v>14</v>
      </c>
      <c r="BJ81" s="19">
        <f>BG81*BH81</f>
        <v>84</v>
      </c>
      <c r="BK81" s="15">
        <f t="shared" ref="BK81:BK106" si="73">BI81+BJ81</f>
        <v>98</v>
      </c>
      <c r="BM81" s="19" t="s">
        <v>7</v>
      </c>
      <c r="BN81" s="15">
        <v>22</v>
      </c>
      <c r="BO81" s="15">
        <v>85</v>
      </c>
      <c r="BP81" s="15">
        <v>1</v>
      </c>
      <c r="BQ81" s="15">
        <f t="shared" si="63"/>
        <v>22</v>
      </c>
      <c r="BR81" s="19">
        <f>BO81*BP81</f>
        <v>85</v>
      </c>
      <c r="BS81" s="15">
        <f t="shared" ref="BS81:BS106" si="74">BQ81+BR81</f>
        <v>107</v>
      </c>
      <c r="BU81" s="19" t="s">
        <v>7</v>
      </c>
      <c r="BV81" s="15">
        <v>9</v>
      </c>
      <c r="BW81" s="15">
        <v>48</v>
      </c>
      <c r="BX81" s="15">
        <v>1</v>
      </c>
      <c r="BY81" s="15">
        <f t="shared" si="64"/>
        <v>9</v>
      </c>
      <c r="BZ81" s="19">
        <f>BW81*BX81</f>
        <v>48</v>
      </c>
      <c r="CA81" s="81">
        <f t="shared" ref="CA81:CA106" si="75">BY81+BZ81</f>
        <v>57</v>
      </c>
      <c r="CC81" s="19" t="s">
        <v>7</v>
      </c>
      <c r="CD81" s="15">
        <v>14</v>
      </c>
      <c r="CE81" s="15">
        <v>50</v>
      </c>
      <c r="CF81" s="15">
        <v>1</v>
      </c>
      <c r="CG81" s="15">
        <f t="shared" si="65"/>
        <v>14</v>
      </c>
      <c r="CH81" s="19">
        <f>CE81*CF81</f>
        <v>50</v>
      </c>
      <c r="CI81" s="84">
        <f t="shared" ref="CI81:CI106" si="76">CG81+CH81</f>
        <v>64</v>
      </c>
      <c r="CK81" s="19" t="s">
        <v>7</v>
      </c>
      <c r="CL81" s="15">
        <v>54</v>
      </c>
      <c r="CM81" s="15">
        <v>0</v>
      </c>
      <c r="CN81" s="15">
        <v>1</v>
      </c>
      <c r="CO81" s="15">
        <f t="shared" si="66"/>
        <v>54</v>
      </c>
      <c r="CP81" s="19">
        <f>CM81*CN81</f>
        <v>0</v>
      </c>
      <c r="CQ81" s="15">
        <f t="shared" ref="CQ81:CQ106" si="77">CO81+CP81</f>
        <v>54</v>
      </c>
    </row>
    <row r="82" spans="1:95">
      <c r="A82" s="19" t="s">
        <v>8</v>
      </c>
      <c r="B82" s="15">
        <v>114</v>
      </c>
      <c r="C82" s="15">
        <f>222+71</f>
        <v>293</v>
      </c>
      <c r="D82" s="15">
        <v>0.5</v>
      </c>
      <c r="E82" s="84">
        <f t="shared" si="55"/>
        <v>57</v>
      </c>
      <c r="F82" s="82">
        <f t="shared" ref="F82:F106" si="78">C82*D82</f>
        <v>146.5</v>
      </c>
      <c r="G82" s="81">
        <f t="shared" si="67"/>
        <v>203.5</v>
      </c>
      <c r="H82" s="105"/>
      <c r="I82" s="19" t="s">
        <v>8</v>
      </c>
      <c r="J82" s="15">
        <v>38</v>
      </c>
      <c r="K82" s="15">
        <f>70+145</f>
        <v>215</v>
      </c>
      <c r="L82" s="15">
        <v>0.5</v>
      </c>
      <c r="M82" s="15">
        <f t="shared" si="56"/>
        <v>19</v>
      </c>
      <c r="N82" s="82">
        <f>K82*L82</f>
        <v>107.5</v>
      </c>
      <c r="O82" s="81">
        <f>M82+N82</f>
        <v>126.5</v>
      </c>
      <c r="P82" s="1"/>
      <c r="Q82" s="19" t="s">
        <v>8</v>
      </c>
      <c r="R82" s="15">
        <v>91</v>
      </c>
      <c r="S82" s="15">
        <v>100</v>
      </c>
      <c r="T82" s="15">
        <v>0.5</v>
      </c>
      <c r="U82" s="15">
        <f t="shared" si="57"/>
        <v>45.5</v>
      </c>
      <c r="V82" s="19">
        <f t="shared" ref="V82:V106" si="79">S82*T82</f>
        <v>50</v>
      </c>
      <c r="W82" s="81">
        <f t="shared" si="68"/>
        <v>95.5</v>
      </c>
      <c r="X82" s="1"/>
      <c r="Y82" s="19" t="s">
        <v>8</v>
      </c>
      <c r="Z82" s="15">
        <v>108</v>
      </c>
      <c r="AA82" s="15">
        <v>0</v>
      </c>
      <c r="AB82" s="15">
        <v>0.5</v>
      </c>
      <c r="AC82" s="15">
        <f t="shared" si="58"/>
        <v>54</v>
      </c>
      <c r="AD82" s="19">
        <f t="shared" ref="AD82:AD100" si="80">AA82*AB82</f>
        <v>0</v>
      </c>
      <c r="AE82" s="81">
        <f t="shared" si="69"/>
        <v>54</v>
      </c>
      <c r="AF82" s="1"/>
      <c r="AG82" s="19" t="s">
        <v>8</v>
      </c>
      <c r="AH82" s="15">
        <v>38</v>
      </c>
      <c r="AI82" s="15">
        <v>59</v>
      </c>
      <c r="AJ82" s="15">
        <v>0.5</v>
      </c>
      <c r="AK82" s="15">
        <f t="shared" si="59"/>
        <v>19</v>
      </c>
      <c r="AL82" s="19">
        <f t="shared" ref="AL82:AL100" si="81">AI82*AJ82</f>
        <v>29.5</v>
      </c>
      <c r="AM82" s="81">
        <f t="shared" si="70"/>
        <v>48.5</v>
      </c>
      <c r="AN82" s="1"/>
      <c r="AO82" s="19" t="s">
        <v>8</v>
      </c>
      <c r="AP82" s="15">
        <v>76</v>
      </c>
      <c r="AQ82" s="15">
        <v>113</v>
      </c>
      <c r="AR82" s="15">
        <v>0.5</v>
      </c>
      <c r="AS82" s="15">
        <f t="shared" si="60"/>
        <v>38</v>
      </c>
      <c r="AT82" s="19">
        <f t="shared" ref="AT82:AT104" si="82">AQ82*AR82</f>
        <v>56.5</v>
      </c>
      <c r="AU82" s="15">
        <f t="shared" si="71"/>
        <v>94.5</v>
      </c>
      <c r="AV82" s="1"/>
      <c r="AW82" s="19" t="s">
        <v>8</v>
      </c>
      <c r="AX82" s="15">
        <v>12</v>
      </c>
      <c r="AY82" s="15">
        <v>121</v>
      </c>
      <c r="AZ82" s="15">
        <v>0.5</v>
      </c>
      <c r="BA82" s="15">
        <f t="shared" si="61"/>
        <v>6</v>
      </c>
      <c r="BB82" s="19">
        <f t="shared" ref="BB82:BB106" si="83">AY82*AZ82</f>
        <v>60.5</v>
      </c>
      <c r="BC82" s="15">
        <f t="shared" si="72"/>
        <v>66.5</v>
      </c>
      <c r="BE82" s="19" t="s">
        <v>8</v>
      </c>
      <c r="BF82" s="15">
        <v>46</v>
      </c>
      <c r="BG82" s="15">
        <f>90+72</f>
        <v>162</v>
      </c>
      <c r="BH82" s="15">
        <v>0.5</v>
      </c>
      <c r="BI82" s="15">
        <f t="shared" si="62"/>
        <v>23</v>
      </c>
      <c r="BJ82" s="19">
        <f t="shared" ref="BJ82:BJ106" si="84">BG82*BH82</f>
        <v>81</v>
      </c>
      <c r="BK82" s="15">
        <f t="shared" si="73"/>
        <v>104</v>
      </c>
      <c r="BL82" s="1"/>
      <c r="BM82" s="19" t="s">
        <v>8</v>
      </c>
      <c r="BN82" s="15">
        <v>46</v>
      </c>
      <c r="BO82" s="15">
        <f>19+16+72</f>
        <v>107</v>
      </c>
      <c r="BP82" s="15">
        <v>0.5</v>
      </c>
      <c r="BQ82" s="15">
        <f t="shared" si="63"/>
        <v>23</v>
      </c>
      <c r="BR82" s="114">
        <f t="shared" ref="BR82:BR106" si="85">BO82*BP82</f>
        <v>53.5</v>
      </c>
      <c r="BS82" s="15">
        <f t="shared" si="74"/>
        <v>76.5</v>
      </c>
      <c r="BU82" s="19" t="s">
        <v>8</v>
      </c>
      <c r="BV82" s="15">
        <v>458</v>
      </c>
      <c r="BW82" s="15">
        <v>72</v>
      </c>
      <c r="BX82" s="15">
        <v>0.5</v>
      </c>
      <c r="BY82" s="15">
        <f t="shared" si="64"/>
        <v>229</v>
      </c>
      <c r="BZ82" s="19">
        <f t="shared" ref="BZ82:BZ106" si="86">BW82*BX82</f>
        <v>36</v>
      </c>
      <c r="CA82" s="81">
        <f t="shared" si="75"/>
        <v>265</v>
      </c>
      <c r="CC82" s="19" t="s">
        <v>8</v>
      </c>
      <c r="CD82" s="15">
        <v>62</v>
      </c>
      <c r="CE82" s="15">
        <f>378+74</f>
        <v>452</v>
      </c>
      <c r="CF82" s="15">
        <v>0.5</v>
      </c>
      <c r="CG82" s="15">
        <f t="shared" si="65"/>
        <v>31</v>
      </c>
      <c r="CH82" s="19">
        <f t="shared" ref="CH82:CH106" si="87">CE82*CF82</f>
        <v>226</v>
      </c>
      <c r="CI82" s="84">
        <f t="shared" si="76"/>
        <v>257</v>
      </c>
      <c r="CK82" s="19" t="s">
        <v>8</v>
      </c>
      <c r="CL82" s="15">
        <v>188</v>
      </c>
      <c r="CM82" s="15">
        <f>168+78</f>
        <v>246</v>
      </c>
      <c r="CN82" s="15">
        <v>0.5</v>
      </c>
      <c r="CO82" s="15">
        <f t="shared" si="66"/>
        <v>94</v>
      </c>
      <c r="CP82" s="19">
        <f t="shared" ref="CP82:CP106" si="88">CM82*CN82</f>
        <v>123</v>
      </c>
      <c r="CQ82" s="15">
        <f t="shared" si="77"/>
        <v>217</v>
      </c>
    </row>
    <row r="83" spans="1:95">
      <c r="A83" s="19" t="s">
        <v>9</v>
      </c>
      <c r="B83" s="15">
        <v>0</v>
      </c>
      <c r="C83" s="15">
        <v>0</v>
      </c>
      <c r="D83" s="15">
        <v>0.59</v>
      </c>
      <c r="E83" s="84">
        <f t="shared" si="55"/>
        <v>0</v>
      </c>
      <c r="F83" s="82">
        <f t="shared" si="78"/>
        <v>0</v>
      </c>
      <c r="G83" s="81">
        <f t="shared" si="67"/>
        <v>0</v>
      </c>
      <c r="I83" s="19" t="s">
        <v>9</v>
      </c>
      <c r="J83" s="15">
        <v>0</v>
      </c>
      <c r="K83" s="15">
        <v>0</v>
      </c>
      <c r="L83" s="15">
        <v>0.59</v>
      </c>
      <c r="M83" s="15">
        <f t="shared" si="56"/>
        <v>0</v>
      </c>
      <c r="N83" s="82">
        <f t="shared" ref="N83:N106" si="89">K83*L83</f>
        <v>0</v>
      </c>
      <c r="O83" s="81">
        <f t="shared" ref="O83:O106" si="90">M83+N83</f>
        <v>0</v>
      </c>
      <c r="Q83" s="19" t="s">
        <v>9</v>
      </c>
      <c r="R83" s="15">
        <v>0</v>
      </c>
      <c r="S83" s="15">
        <v>0</v>
      </c>
      <c r="T83" s="15">
        <v>0.59</v>
      </c>
      <c r="U83" s="15">
        <f t="shared" si="57"/>
        <v>0</v>
      </c>
      <c r="V83" s="19">
        <f t="shared" si="79"/>
        <v>0</v>
      </c>
      <c r="W83" s="81">
        <f t="shared" si="68"/>
        <v>0</v>
      </c>
      <c r="Y83" s="19" t="s">
        <v>9</v>
      </c>
      <c r="Z83" s="15">
        <v>0</v>
      </c>
      <c r="AA83" s="15">
        <v>0</v>
      </c>
      <c r="AB83" s="15">
        <v>0.59</v>
      </c>
      <c r="AC83" s="15">
        <f t="shared" si="58"/>
        <v>0</v>
      </c>
      <c r="AD83" s="19">
        <f t="shared" si="80"/>
        <v>0</v>
      </c>
      <c r="AE83" s="81">
        <f t="shared" si="69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59"/>
        <v>0</v>
      </c>
      <c r="AL83" s="19">
        <f t="shared" si="81"/>
        <v>0</v>
      </c>
      <c r="AM83" s="81">
        <f t="shared" si="70"/>
        <v>0</v>
      </c>
      <c r="AN83" s="1"/>
      <c r="AO83" s="19" t="s">
        <v>9</v>
      </c>
      <c r="AP83" s="15">
        <v>0</v>
      </c>
      <c r="AQ83" s="15">
        <v>0</v>
      </c>
      <c r="AR83" s="15">
        <v>0.59</v>
      </c>
      <c r="AS83" s="15">
        <f t="shared" si="60"/>
        <v>0</v>
      </c>
      <c r="AT83" s="19">
        <f t="shared" si="82"/>
        <v>0</v>
      </c>
      <c r="AU83" s="15">
        <f t="shared" si="71"/>
        <v>0</v>
      </c>
      <c r="AW83" s="19" t="s">
        <v>9</v>
      </c>
      <c r="AX83" s="15">
        <v>0</v>
      </c>
      <c r="AY83" s="15">
        <v>0</v>
      </c>
      <c r="AZ83" s="15">
        <v>0.59</v>
      </c>
      <c r="BA83" s="15">
        <f t="shared" si="61"/>
        <v>0</v>
      </c>
      <c r="BB83" s="19">
        <f t="shared" si="83"/>
        <v>0</v>
      </c>
      <c r="BC83" s="15">
        <f t="shared" si="72"/>
        <v>0</v>
      </c>
      <c r="BD83" s="1"/>
      <c r="BE83" s="19" t="s">
        <v>9</v>
      </c>
      <c r="BF83" s="15">
        <v>0</v>
      </c>
      <c r="BG83" s="15">
        <v>0</v>
      </c>
      <c r="BH83" s="15">
        <v>0.59</v>
      </c>
      <c r="BI83" s="15">
        <f t="shared" si="62"/>
        <v>0</v>
      </c>
      <c r="BJ83" s="19">
        <f t="shared" si="84"/>
        <v>0</v>
      </c>
      <c r="BK83" s="15">
        <f t="shared" si="73"/>
        <v>0</v>
      </c>
      <c r="BL83" s="1"/>
      <c r="BM83" s="19" t="s">
        <v>9</v>
      </c>
      <c r="BN83" s="15">
        <v>0</v>
      </c>
      <c r="BO83" s="15">
        <f>75</f>
        <v>75</v>
      </c>
      <c r="BP83" s="15">
        <v>0.59</v>
      </c>
      <c r="BQ83" s="15">
        <f t="shared" si="63"/>
        <v>0</v>
      </c>
      <c r="BR83" s="19">
        <f t="shared" si="85"/>
        <v>44.25</v>
      </c>
      <c r="BS83" s="15">
        <f t="shared" si="74"/>
        <v>44.25</v>
      </c>
      <c r="BU83" s="19" t="s">
        <v>9</v>
      </c>
      <c r="BV83" s="15">
        <v>0</v>
      </c>
      <c r="BW83" s="15">
        <v>0</v>
      </c>
      <c r="BX83" s="15">
        <v>0.59</v>
      </c>
      <c r="BY83" s="15">
        <f t="shared" si="64"/>
        <v>0</v>
      </c>
      <c r="BZ83" s="19">
        <f t="shared" si="86"/>
        <v>0</v>
      </c>
      <c r="CA83" s="81">
        <f t="shared" si="75"/>
        <v>0</v>
      </c>
      <c r="CC83" s="19" t="s">
        <v>9</v>
      </c>
      <c r="CD83" s="15">
        <v>0</v>
      </c>
      <c r="CE83" s="15">
        <v>0</v>
      </c>
      <c r="CF83" s="15">
        <v>0.59</v>
      </c>
      <c r="CG83" s="15">
        <f t="shared" si="65"/>
        <v>0</v>
      </c>
      <c r="CH83" s="19">
        <f t="shared" si="87"/>
        <v>0</v>
      </c>
      <c r="CI83" s="84">
        <f t="shared" si="76"/>
        <v>0</v>
      </c>
      <c r="CK83" s="19" t="s">
        <v>9</v>
      </c>
      <c r="CL83" s="15">
        <v>0</v>
      </c>
      <c r="CM83" s="15">
        <v>0</v>
      </c>
      <c r="CN83" s="15">
        <v>0.59</v>
      </c>
      <c r="CO83" s="15">
        <f t="shared" si="66"/>
        <v>0</v>
      </c>
      <c r="CP83" s="19">
        <f t="shared" si="88"/>
        <v>0</v>
      </c>
      <c r="CQ83" s="15">
        <f t="shared" si="77"/>
        <v>0</v>
      </c>
    </row>
    <row r="84" spans="1:95">
      <c r="A84" s="86" t="s">
        <v>111</v>
      </c>
      <c r="B84" s="15">
        <v>0</v>
      </c>
      <c r="C84" s="15">
        <v>0</v>
      </c>
      <c r="D84" s="15">
        <v>0.15</v>
      </c>
      <c r="E84" s="84">
        <f t="shared" si="55"/>
        <v>0</v>
      </c>
      <c r="F84" s="82">
        <f t="shared" si="78"/>
        <v>0</v>
      </c>
      <c r="G84" s="81">
        <f t="shared" si="67"/>
        <v>0</v>
      </c>
      <c r="I84" s="86" t="s">
        <v>111</v>
      </c>
      <c r="J84" s="15">
        <v>0</v>
      </c>
      <c r="K84" s="15">
        <v>0</v>
      </c>
      <c r="L84" s="15">
        <v>0.15</v>
      </c>
      <c r="M84" s="15">
        <f t="shared" si="56"/>
        <v>0</v>
      </c>
      <c r="N84" s="82">
        <f t="shared" si="89"/>
        <v>0</v>
      </c>
      <c r="O84" s="81">
        <f t="shared" si="90"/>
        <v>0</v>
      </c>
      <c r="Q84" s="19" t="s">
        <v>10</v>
      </c>
      <c r="R84" s="15">
        <v>0</v>
      </c>
      <c r="S84" s="15">
        <v>0</v>
      </c>
      <c r="T84" s="15">
        <v>0.15</v>
      </c>
      <c r="U84" s="15">
        <f t="shared" si="57"/>
        <v>0</v>
      </c>
      <c r="V84" s="19">
        <f t="shared" si="79"/>
        <v>0</v>
      </c>
      <c r="W84" s="81">
        <f t="shared" si="68"/>
        <v>0</v>
      </c>
      <c r="Y84" s="19" t="s">
        <v>10</v>
      </c>
      <c r="Z84" s="15">
        <v>0</v>
      </c>
      <c r="AA84" s="15">
        <v>0</v>
      </c>
      <c r="AB84" s="15">
        <v>0.15</v>
      </c>
      <c r="AC84" s="15">
        <f t="shared" si="58"/>
        <v>0</v>
      </c>
      <c r="AD84" s="19">
        <f t="shared" si="80"/>
        <v>0</v>
      </c>
      <c r="AE84" s="81">
        <f t="shared" si="69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59"/>
        <v>0</v>
      </c>
      <c r="AL84" s="19">
        <f t="shared" si="81"/>
        <v>0</v>
      </c>
      <c r="AM84" s="81">
        <f t="shared" si="70"/>
        <v>0</v>
      </c>
      <c r="AO84" s="19" t="s">
        <v>10</v>
      </c>
      <c r="AP84" s="15">
        <v>0</v>
      </c>
      <c r="AQ84" s="15">
        <v>0</v>
      </c>
      <c r="AR84" s="15">
        <v>0.15</v>
      </c>
      <c r="AS84" s="15">
        <f t="shared" si="60"/>
        <v>0</v>
      </c>
      <c r="AT84" s="19">
        <f t="shared" si="82"/>
        <v>0</v>
      </c>
      <c r="AU84" s="15">
        <f t="shared" si="71"/>
        <v>0</v>
      </c>
      <c r="AW84" s="19" t="s">
        <v>10</v>
      </c>
      <c r="AX84" s="15">
        <v>0</v>
      </c>
      <c r="AY84" s="15">
        <v>0</v>
      </c>
      <c r="AZ84" s="15">
        <v>0.15</v>
      </c>
      <c r="BA84" s="15">
        <f t="shared" si="61"/>
        <v>0</v>
      </c>
      <c r="BB84" s="19">
        <f t="shared" si="83"/>
        <v>0</v>
      </c>
      <c r="BC84" s="15">
        <f t="shared" si="72"/>
        <v>0</v>
      </c>
      <c r="BE84" s="19" t="s">
        <v>10</v>
      </c>
      <c r="BF84" s="15">
        <v>0</v>
      </c>
      <c r="BG84" s="15">
        <v>0</v>
      </c>
      <c r="BH84" s="15">
        <v>0.15</v>
      </c>
      <c r="BI84" s="15">
        <f t="shared" si="62"/>
        <v>0</v>
      </c>
      <c r="BJ84" s="19">
        <f t="shared" si="84"/>
        <v>0</v>
      </c>
      <c r="BK84" s="15">
        <f t="shared" si="73"/>
        <v>0</v>
      </c>
      <c r="BM84" s="19" t="s">
        <v>10</v>
      </c>
      <c r="BN84" s="15">
        <v>0</v>
      </c>
      <c r="BO84" s="15">
        <v>0</v>
      </c>
      <c r="BP84" s="15">
        <v>0.15</v>
      </c>
      <c r="BQ84" s="15">
        <f t="shared" si="63"/>
        <v>0</v>
      </c>
      <c r="BR84" s="19">
        <f t="shared" si="85"/>
        <v>0</v>
      </c>
      <c r="BS84" s="15">
        <f t="shared" si="74"/>
        <v>0</v>
      </c>
      <c r="BU84" s="19" t="s">
        <v>10</v>
      </c>
      <c r="BV84" s="15">
        <v>0</v>
      </c>
      <c r="BW84" s="15">
        <v>0</v>
      </c>
      <c r="BX84" s="15">
        <v>0.15</v>
      </c>
      <c r="BY84" s="15">
        <f t="shared" si="64"/>
        <v>0</v>
      </c>
      <c r="BZ84" s="19">
        <f t="shared" si="86"/>
        <v>0</v>
      </c>
      <c r="CA84" s="81">
        <f t="shared" si="75"/>
        <v>0</v>
      </c>
      <c r="CC84" s="19" t="s">
        <v>10</v>
      </c>
      <c r="CD84" s="15">
        <v>0</v>
      </c>
      <c r="CE84" s="15">
        <v>0</v>
      </c>
      <c r="CF84" s="15">
        <v>0.15</v>
      </c>
      <c r="CG84" s="15">
        <f t="shared" si="65"/>
        <v>0</v>
      </c>
      <c r="CH84" s="19">
        <f t="shared" si="87"/>
        <v>0</v>
      </c>
      <c r="CI84" s="84">
        <f t="shared" si="76"/>
        <v>0</v>
      </c>
      <c r="CK84" s="19" t="s">
        <v>10</v>
      </c>
      <c r="CL84" s="15">
        <v>0</v>
      </c>
      <c r="CM84" s="15">
        <v>0</v>
      </c>
      <c r="CN84" s="15">
        <v>0.15</v>
      </c>
      <c r="CO84" s="15">
        <f t="shared" si="66"/>
        <v>0</v>
      </c>
      <c r="CP84" s="19">
        <f t="shared" si="88"/>
        <v>0</v>
      </c>
      <c r="CQ84" s="15">
        <f t="shared" si="77"/>
        <v>0</v>
      </c>
    </row>
    <row r="85" spans="1:95">
      <c r="A85" s="19" t="s">
        <v>11</v>
      </c>
      <c r="B85" s="15">
        <v>52</v>
      </c>
      <c r="C85" s="15">
        <f>86+76</f>
        <v>162</v>
      </c>
      <c r="D85" s="15">
        <v>1</v>
      </c>
      <c r="E85" s="84">
        <f t="shared" si="55"/>
        <v>52</v>
      </c>
      <c r="F85" s="82">
        <f t="shared" si="78"/>
        <v>162</v>
      </c>
      <c r="G85" s="81">
        <f t="shared" si="67"/>
        <v>214</v>
      </c>
      <c r="I85" s="19" t="s">
        <v>11</v>
      </c>
      <c r="J85" s="15">
        <v>21</v>
      </c>
      <c r="K85" s="15">
        <v>44</v>
      </c>
      <c r="L85" s="15">
        <v>1</v>
      </c>
      <c r="M85" s="15">
        <f t="shared" si="56"/>
        <v>21</v>
      </c>
      <c r="N85" s="82">
        <f t="shared" si="89"/>
        <v>44</v>
      </c>
      <c r="O85" s="81">
        <f t="shared" si="90"/>
        <v>65</v>
      </c>
      <c r="Q85" s="19" t="s">
        <v>11</v>
      </c>
      <c r="R85" s="15">
        <v>84</v>
      </c>
      <c r="S85" s="15">
        <v>82</v>
      </c>
      <c r="T85" s="15">
        <v>1</v>
      </c>
      <c r="U85" s="15">
        <f t="shared" si="57"/>
        <v>84</v>
      </c>
      <c r="V85" s="19">
        <f t="shared" si="79"/>
        <v>82</v>
      </c>
      <c r="W85" s="81">
        <f t="shared" si="68"/>
        <v>166</v>
      </c>
      <c r="Y85" s="19" t="s">
        <v>11</v>
      </c>
      <c r="Z85" s="15">
        <v>42</v>
      </c>
      <c r="AA85" s="15">
        <v>0</v>
      </c>
      <c r="AB85" s="15">
        <v>1</v>
      </c>
      <c r="AC85" s="15">
        <f t="shared" si="58"/>
        <v>42</v>
      </c>
      <c r="AD85" s="19">
        <f t="shared" si="80"/>
        <v>0</v>
      </c>
      <c r="AE85" s="81">
        <f t="shared" si="69"/>
        <v>42</v>
      </c>
      <c r="AG85" s="19" t="s">
        <v>11</v>
      </c>
      <c r="AH85" s="15">
        <v>74</v>
      </c>
      <c r="AI85" s="15">
        <v>2</v>
      </c>
      <c r="AJ85" s="15">
        <v>1</v>
      </c>
      <c r="AK85" s="15">
        <f t="shared" si="59"/>
        <v>74</v>
      </c>
      <c r="AL85" s="19">
        <f t="shared" si="81"/>
        <v>2</v>
      </c>
      <c r="AM85" s="81">
        <f t="shared" si="70"/>
        <v>76</v>
      </c>
      <c r="AO85" s="19" t="s">
        <v>11</v>
      </c>
      <c r="AP85" s="15">
        <v>88</v>
      </c>
      <c r="AQ85" s="15">
        <v>66</v>
      </c>
      <c r="AR85" s="15">
        <v>1</v>
      </c>
      <c r="AS85" s="15">
        <f t="shared" si="60"/>
        <v>88</v>
      </c>
      <c r="AT85" s="19">
        <f t="shared" si="82"/>
        <v>66</v>
      </c>
      <c r="AU85" s="15">
        <f t="shared" si="71"/>
        <v>154</v>
      </c>
      <c r="AW85" s="19" t="s">
        <v>11</v>
      </c>
      <c r="AX85" s="15">
        <v>92</v>
      </c>
      <c r="AY85" s="15">
        <v>133</v>
      </c>
      <c r="AZ85" s="15">
        <v>1</v>
      </c>
      <c r="BA85" s="15">
        <f t="shared" si="61"/>
        <v>92</v>
      </c>
      <c r="BB85" s="19">
        <f t="shared" si="83"/>
        <v>133</v>
      </c>
      <c r="BC85" s="15">
        <f t="shared" si="72"/>
        <v>225</v>
      </c>
      <c r="BE85" s="19" t="s">
        <v>11</v>
      </c>
      <c r="BF85" s="15">
        <v>74</v>
      </c>
      <c r="BG85" s="15">
        <v>85</v>
      </c>
      <c r="BH85" s="15">
        <v>1</v>
      </c>
      <c r="BI85" s="15">
        <f t="shared" si="62"/>
        <v>74</v>
      </c>
      <c r="BJ85" s="19">
        <f t="shared" si="84"/>
        <v>85</v>
      </c>
      <c r="BK85" s="15">
        <f t="shared" si="73"/>
        <v>159</v>
      </c>
      <c r="BM85" s="19" t="s">
        <v>11</v>
      </c>
      <c r="BN85" s="15">
        <v>32</v>
      </c>
      <c r="BO85" s="15">
        <v>60</v>
      </c>
      <c r="BP85" s="15">
        <v>1</v>
      </c>
      <c r="BQ85" s="15">
        <f t="shared" si="63"/>
        <v>32</v>
      </c>
      <c r="BR85" s="19">
        <f t="shared" si="85"/>
        <v>60</v>
      </c>
      <c r="BS85" s="15">
        <f t="shared" si="74"/>
        <v>92</v>
      </c>
      <c r="BU85" s="19" t="s">
        <v>11</v>
      </c>
      <c r="BV85" s="15">
        <v>36</v>
      </c>
      <c r="BW85" s="15">
        <v>60</v>
      </c>
      <c r="BX85" s="15">
        <v>1</v>
      </c>
      <c r="BY85" s="15">
        <f t="shared" si="64"/>
        <v>36</v>
      </c>
      <c r="BZ85" s="19">
        <f t="shared" si="86"/>
        <v>60</v>
      </c>
      <c r="CA85" s="81">
        <f t="shared" si="75"/>
        <v>96</v>
      </c>
      <c r="CC85" s="19" t="s">
        <v>11</v>
      </c>
      <c r="CD85" s="15">
        <v>53</v>
      </c>
      <c r="CE85" s="15">
        <v>60</v>
      </c>
      <c r="CF85" s="15">
        <v>1</v>
      </c>
      <c r="CG85" s="15">
        <f t="shared" si="65"/>
        <v>53</v>
      </c>
      <c r="CH85" s="19">
        <f t="shared" si="87"/>
        <v>60</v>
      </c>
      <c r="CI85" s="84">
        <f t="shared" si="76"/>
        <v>113</v>
      </c>
      <c r="CK85" s="19" t="s">
        <v>11</v>
      </c>
      <c r="CL85" s="15">
        <v>18</v>
      </c>
      <c r="CM85" s="15">
        <v>90</v>
      </c>
      <c r="CN85" s="15">
        <v>1</v>
      </c>
      <c r="CO85" s="15">
        <f t="shared" si="66"/>
        <v>18</v>
      </c>
      <c r="CP85" s="19">
        <f t="shared" si="88"/>
        <v>90</v>
      </c>
      <c r="CQ85" s="15">
        <f t="shared" si="77"/>
        <v>108</v>
      </c>
    </row>
    <row r="86" spans="1:95">
      <c r="A86" s="19" t="s">
        <v>12</v>
      </c>
      <c r="B86" s="15">
        <v>0</v>
      </c>
      <c r="C86" s="15">
        <v>0</v>
      </c>
      <c r="D86" s="15">
        <v>1</v>
      </c>
      <c r="E86" s="84">
        <f t="shared" si="55"/>
        <v>0</v>
      </c>
      <c r="F86" s="82">
        <f t="shared" si="78"/>
        <v>0</v>
      </c>
      <c r="G86" s="81">
        <f t="shared" si="67"/>
        <v>0</v>
      </c>
      <c r="I86" s="19" t="s">
        <v>12</v>
      </c>
      <c r="J86" s="15">
        <v>8</v>
      </c>
      <c r="K86" s="15">
        <v>73</v>
      </c>
      <c r="L86" s="15">
        <v>1</v>
      </c>
      <c r="M86" s="15">
        <f t="shared" si="56"/>
        <v>8</v>
      </c>
      <c r="N86" s="82">
        <f t="shared" si="89"/>
        <v>73</v>
      </c>
      <c r="O86" s="81">
        <f t="shared" si="90"/>
        <v>81</v>
      </c>
      <c r="Q86" s="19" t="s">
        <v>12</v>
      </c>
      <c r="R86" s="15">
        <v>42</v>
      </c>
      <c r="S86" s="15">
        <v>0</v>
      </c>
      <c r="T86" s="15">
        <v>1</v>
      </c>
      <c r="U86" s="15">
        <f t="shared" si="57"/>
        <v>42</v>
      </c>
      <c r="V86" s="19">
        <f t="shared" si="79"/>
        <v>0</v>
      </c>
      <c r="W86" s="81">
        <f t="shared" si="68"/>
        <v>42</v>
      </c>
      <c r="X86">
        <f>X88/0.4</f>
        <v>75</v>
      </c>
      <c r="Y86" s="19" t="s">
        <v>12</v>
      </c>
      <c r="Z86" s="15">
        <v>78</v>
      </c>
      <c r="AA86" s="15">
        <v>40</v>
      </c>
      <c r="AB86" s="15">
        <v>1</v>
      </c>
      <c r="AC86" s="15">
        <f t="shared" si="58"/>
        <v>78</v>
      </c>
      <c r="AD86" s="19">
        <f t="shared" si="80"/>
        <v>40</v>
      </c>
      <c r="AE86" s="81">
        <f t="shared" si="69"/>
        <v>118</v>
      </c>
      <c r="AG86" s="19" t="s">
        <v>12</v>
      </c>
      <c r="AH86" s="15">
        <v>89</v>
      </c>
      <c r="AI86" s="15"/>
      <c r="AJ86" s="15">
        <v>1</v>
      </c>
      <c r="AK86" s="15">
        <f t="shared" si="59"/>
        <v>89</v>
      </c>
      <c r="AL86" s="19">
        <f t="shared" si="81"/>
        <v>0</v>
      </c>
      <c r="AM86" s="81">
        <f t="shared" si="70"/>
        <v>89</v>
      </c>
      <c r="AO86" s="19" t="s">
        <v>12</v>
      </c>
      <c r="AP86" s="15">
        <v>148</v>
      </c>
      <c r="AQ86" s="15">
        <v>2</v>
      </c>
      <c r="AR86" s="15">
        <v>1</v>
      </c>
      <c r="AS86" s="15">
        <f t="shared" si="60"/>
        <v>148</v>
      </c>
      <c r="AT86" s="19">
        <f t="shared" si="82"/>
        <v>2</v>
      </c>
      <c r="AU86" s="15">
        <f t="shared" si="71"/>
        <v>150</v>
      </c>
      <c r="AW86" s="19" t="s">
        <v>12</v>
      </c>
      <c r="AX86" s="15">
        <v>109</v>
      </c>
      <c r="AY86" s="15">
        <v>79</v>
      </c>
      <c r="AZ86" s="15">
        <v>1</v>
      </c>
      <c r="BA86" s="15">
        <f t="shared" si="61"/>
        <v>109</v>
      </c>
      <c r="BB86" s="19">
        <f t="shared" si="83"/>
        <v>79</v>
      </c>
      <c r="BC86" s="15">
        <f t="shared" si="72"/>
        <v>188</v>
      </c>
      <c r="BE86" s="19" t="s">
        <v>12</v>
      </c>
      <c r="BF86" s="15">
        <v>34</v>
      </c>
      <c r="BG86" s="15">
        <v>40</v>
      </c>
      <c r="BH86" s="15">
        <v>1</v>
      </c>
      <c r="BI86" s="15">
        <f t="shared" si="62"/>
        <v>34</v>
      </c>
      <c r="BJ86" s="19">
        <f t="shared" si="84"/>
        <v>40</v>
      </c>
      <c r="BK86" s="15">
        <f t="shared" si="73"/>
        <v>74</v>
      </c>
      <c r="BM86" s="19" t="s">
        <v>12</v>
      </c>
      <c r="BN86" s="15">
        <v>41</v>
      </c>
      <c r="BO86" s="15">
        <v>45</v>
      </c>
      <c r="BP86" s="15">
        <v>1</v>
      </c>
      <c r="BQ86" s="15">
        <f t="shared" si="63"/>
        <v>41</v>
      </c>
      <c r="BR86" s="19">
        <f t="shared" si="85"/>
        <v>45</v>
      </c>
      <c r="BS86" s="15">
        <f t="shared" si="74"/>
        <v>86</v>
      </c>
      <c r="BU86" s="19" t="s">
        <v>12</v>
      </c>
      <c r="BV86" s="15">
        <v>36</v>
      </c>
      <c r="BW86" s="15">
        <v>0</v>
      </c>
      <c r="BX86" s="15">
        <v>1</v>
      </c>
      <c r="BY86" s="15">
        <f t="shared" si="64"/>
        <v>36</v>
      </c>
      <c r="BZ86" s="19">
        <f t="shared" si="86"/>
        <v>0</v>
      </c>
      <c r="CA86" s="81">
        <f t="shared" si="75"/>
        <v>36</v>
      </c>
      <c r="CC86" s="19" t="s">
        <v>12</v>
      </c>
      <c r="CD86" s="15">
        <v>48</v>
      </c>
      <c r="CE86" s="15">
        <v>11</v>
      </c>
      <c r="CF86" s="15">
        <v>1</v>
      </c>
      <c r="CG86" s="15">
        <f t="shared" si="65"/>
        <v>48</v>
      </c>
      <c r="CH86" s="19">
        <f t="shared" si="87"/>
        <v>11</v>
      </c>
      <c r="CI86" s="84">
        <f t="shared" si="76"/>
        <v>59</v>
      </c>
      <c r="CK86" s="19" t="s">
        <v>12</v>
      </c>
      <c r="CL86" s="15">
        <v>23</v>
      </c>
      <c r="CM86" s="165">
        <f>104-10</f>
        <v>94</v>
      </c>
      <c r="CN86" s="15">
        <v>1</v>
      </c>
      <c r="CO86" s="15">
        <f t="shared" si="66"/>
        <v>23</v>
      </c>
      <c r="CP86" s="19">
        <f t="shared" si="88"/>
        <v>94</v>
      </c>
      <c r="CQ86" s="15">
        <f t="shared" si="77"/>
        <v>117</v>
      </c>
    </row>
    <row r="87" spans="1:95">
      <c r="A87" s="19" t="s">
        <v>13</v>
      </c>
      <c r="B87" s="15">
        <v>24</v>
      </c>
      <c r="C87" s="15">
        <v>352</v>
      </c>
      <c r="D87" s="15">
        <v>0.4</v>
      </c>
      <c r="E87" s="84">
        <f t="shared" si="55"/>
        <v>9.6000000000000014</v>
      </c>
      <c r="F87" s="82">
        <f t="shared" si="78"/>
        <v>140.80000000000001</v>
      </c>
      <c r="G87" s="81">
        <f t="shared" si="67"/>
        <v>150.4</v>
      </c>
      <c r="I87" s="19" t="s">
        <v>13</v>
      </c>
      <c r="J87" s="15">
        <v>14</v>
      </c>
      <c r="K87" s="15">
        <v>122</v>
      </c>
      <c r="L87" s="15">
        <v>0.4</v>
      </c>
      <c r="M87" s="15">
        <f t="shared" si="56"/>
        <v>5.6000000000000005</v>
      </c>
      <c r="N87" s="82">
        <f t="shared" si="89"/>
        <v>48.800000000000004</v>
      </c>
      <c r="O87" s="81">
        <f t="shared" si="90"/>
        <v>54.400000000000006</v>
      </c>
      <c r="Q87" s="19" t="s">
        <v>13</v>
      </c>
      <c r="R87" s="15">
        <v>37</v>
      </c>
      <c r="S87" s="15">
        <f>320-75</f>
        <v>245</v>
      </c>
      <c r="T87" s="15">
        <v>0.4</v>
      </c>
      <c r="U87" s="15">
        <f t="shared" si="57"/>
        <v>14.8</v>
      </c>
      <c r="V87" s="19">
        <f t="shared" si="79"/>
        <v>98</v>
      </c>
      <c r="W87" s="81">
        <f t="shared" si="68"/>
        <v>112.8</v>
      </c>
      <c r="Y87" s="19" t="s">
        <v>13</v>
      </c>
      <c r="Z87" s="15">
        <v>78</v>
      </c>
      <c r="AA87" s="15">
        <v>13</v>
      </c>
      <c r="AB87" s="15">
        <v>0.4</v>
      </c>
      <c r="AC87" s="15">
        <f t="shared" si="58"/>
        <v>31.200000000000003</v>
      </c>
      <c r="AD87" s="19">
        <f t="shared" si="80"/>
        <v>5.2</v>
      </c>
      <c r="AE87" s="81">
        <f t="shared" si="69"/>
        <v>36.400000000000006</v>
      </c>
      <c r="AG87" s="19" t="s">
        <v>13</v>
      </c>
      <c r="AH87" s="15">
        <v>43</v>
      </c>
      <c r="AI87" s="15"/>
      <c r="AJ87" s="15">
        <v>0.4</v>
      </c>
      <c r="AK87" s="15">
        <f t="shared" si="59"/>
        <v>17.2</v>
      </c>
      <c r="AL87" s="19">
        <f t="shared" si="81"/>
        <v>0</v>
      </c>
      <c r="AM87" s="81">
        <f t="shared" si="70"/>
        <v>17.2</v>
      </c>
      <c r="AO87" s="19" t="s">
        <v>13</v>
      </c>
      <c r="AP87" s="15">
        <v>96</v>
      </c>
      <c r="AQ87" s="15">
        <v>84</v>
      </c>
      <c r="AR87" s="15">
        <v>0.4</v>
      </c>
      <c r="AS87" s="15">
        <f t="shared" si="60"/>
        <v>38.400000000000006</v>
      </c>
      <c r="AT87" s="19">
        <f t="shared" si="82"/>
        <v>33.6</v>
      </c>
      <c r="AU87" s="15">
        <f t="shared" si="71"/>
        <v>72</v>
      </c>
      <c r="AV87" s="1"/>
      <c r="AW87" s="19" t="s">
        <v>13</v>
      </c>
      <c r="AX87" s="15">
        <v>104</v>
      </c>
      <c r="AY87" s="15">
        <v>188</v>
      </c>
      <c r="AZ87" s="15">
        <v>0.4</v>
      </c>
      <c r="BA87" s="15">
        <f t="shared" si="61"/>
        <v>41.6</v>
      </c>
      <c r="BB87" s="19">
        <f t="shared" si="83"/>
        <v>75.2</v>
      </c>
      <c r="BC87" s="15">
        <f t="shared" si="72"/>
        <v>116.80000000000001</v>
      </c>
      <c r="BE87" s="19" t="s">
        <v>13</v>
      </c>
      <c r="BF87" s="15">
        <v>96</v>
      </c>
      <c r="BG87" s="15">
        <v>185</v>
      </c>
      <c r="BH87" s="15">
        <v>0.4</v>
      </c>
      <c r="BI87" s="15">
        <f t="shared" si="62"/>
        <v>38.400000000000006</v>
      </c>
      <c r="BJ87" s="83">
        <f t="shared" si="84"/>
        <v>74</v>
      </c>
      <c r="BK87" s="15">
        <f t="shared" si="73"/>
        <v>112.4</v>
      </c>
      <c r="BL87" s="1"/>
      <c r="BM87" s="19" t="s">
        <v>13</v>
      </c>
      <c r="BN87" s="15">
        <v>85</v>
      </c>
      <c r="BO87" s="15">
        <v>154</v>
      </c>
      <c r="BP87" s="15">
        <v>0.4</v>
      </c>
      <c r="BQ87" s="15">
        <f t="shared" si="63"/>
        <v>34</v>
      </c>
      <c r="BR87" s="19">
        <f t="shared" si="85"/>
        <v>61.6</v>
      </c>
      <c r="BS87" s="15">
        <f t="shared" si="74"/>
        <v>95.6</v>
      </c>
      <c r="BU87" s="19" t="s">
        <v>13</v>
      </c>
      <c r="BV87" s="15">
        <v>78</v>
      </c>
      <c r="BW87" s="15">
        <v>86</v>
      </c>
      <c r="BX87" s="15">
        <v>0.4</v>
      </c>
      <c r="BY87" s="15">
        <f t="shared" si="64"/>
        <v>31.200000000000003</v>
      </c>
      <c r="BZ87" s="19">
        <f t="shared" si="86"/>
        <v>34.4</v>
      </c>
      <c r="CA87" s="81">
        <f t="shared" si="75"/>
        <v>65.599999999999994</v>
      </c>
      <c r="CC87" s="19" t="s">
        <v>13</v>
      </c>
      <c r="CD87" s="15">
        <v>74</v>
      </c>
      <c r="CE87" s="166">
        <f>600-150</f>
        <v>450</v>
      </c>
      <c r="CF87" s="15">
        <v>0.4</v>
      </c>
      <c r="CG87" s="15">
        <f t="shared" si="65"/>
        <v>29.6</v>
      </c>
      <c r="CH87" s="19">
        <f t="shared" si="87"/>
        <v>180</v>
      </c>
      <c r="CI87" s="84">
        <f t="shared" si="76"/>
        <v>209.6</v>
      </c>
      <c r="CK87" s="19" t="s">
        <v>13</v>
      </c>
      <c r="CL87" s="15">
        <v>56</v>
      </c>
      <c r="CM87" s="15">
        <f>500+17+144</f>
        <v>661</v>
      </c>
      <c r="CN87" s="15">
        <v>0.4</v>
      </c>
      <c r="CO87" s="15">
        <f t="shared" si="66"/>
        <v>22.400000000000002</v>
      </c>
      <c r="CP87" s="19">
        <f t="shared" si="88"/>
        <v>264.40000000000003</v>
      </c>
      <c r="CQ87" s="15">
        <f t="shared" si="77"/>
        <v>286.8</v>
      </c>
    </row>
    <row r="88" spans="1:95">
      <c r="A88" s="19" t="s">
        <v>14</v>
      </c>
      <c r="B88" s="15">
        <v>32</v>
      </c>
      <c r="C88" s="15">
        <v>63</v>
      </c>
      <c r="D88" s="15">
        <v>0.7</v>
      </c>
      <c r="E88" s="84">
        <f t="shared" si="55"/>
        <v>22.4</v>
      </c>
      <c r="F88" s="82">
        <f t="shared" si="78"/>
        <v>44.099999999999994</v>
      </c>
      <c r="G88" s="81">
        <f t="shared" si="67"/>
        <v>66.5</v>
      </c>
      <c r="I88" s="19" t="s">
        <v>14</v>
      </c>
      <c r="J88" s="15">
        <v>21</v>
      </c>
      <c r="K88" s="15">
        <v>70</v>
      </c>
      <c r="L88" s="15">
        <v>0.7</v>
      </c>
      <c r="M88" s="15">
        <f t="shared" si="56"/>
        <v>14.7</v>
      </c>
      <c r="N88" s="82">
        <f t="shared" si="89"/>
        <v>49</v>
      </c>
      <c r="O88" s="81">
        <f t="shared" si="90"/>
        <v>63.7</v>
      </c>
      <c r="Q88" s="19" t="s">
        <v>14</v>
      </c>
      <c r="R88" s="15">
        <v>52</v>
      </c>
      <c r="S88" s="15">
        <f>55+43</f>
        <v>98</v>
      </c>
      <c r="T88" s="15">
        <v>0.7</v>
      </c>
      <c r="U88" s="15">
        <f t="shared" si="57"/>
        <v>36.4</v>
      </c>
      <c r="V88" s="19">
        <f t="shared" si="79"/>
        <v>68.599999999999994</v>
      </c>
      <c r="W88" s="81">
        <f t="shared" si="68"/>
        <v>105</v>
      </c>
      <c r="X88" s="88">
        <v>30</v>
      </c>
      <c r="Y88" s="19" t="s">
        <v>14</v>
      </c>
      <c r="Z88" s="15">
        <v>24</v>
      </c>
      <c r="AA88" s="15">
        <f>10+28</f>
        <v>38</v>
      </c>
      <c r="AB88" s="15">
        <v>0.7</v>
      </c>
      <c r="AC88" s="15">
        <f t="shared" si="58"/>
        <v>16.799999999999997</v>
      </c>
      <c r="AD88" s="19">
        <f t="shared" si="80"/>
        <v>26.599999999999998</v>
      </c>
      <c r="AE88" s="81">
        <f t="shared" si="69"/>
        <v>43.399999999999991</v>
      </c>
      <c r="AF88" s="1"/>
      <c r="AG88" s="19" t="s">
        <v>14</v>
      </c>
      <c r="AH88" s="15">
        <v>26</v>
      </c>
      <c r="AI88" s="15">
        <v>13</v>
      </c>
      <c r="AJ88" s="15">
        <v>0.7</v>
      </c>
      <c r="AK88" s="15">
        <f t="shared" si="59"/>
        <v>18.2</v>
      </c>
      <c r="AL88" s="19">
        <f t="shared" si="81"/>
        <v>9.1</v>
      </c>
      <c r="AM88" s="81">
        <f t="shared" si="70"/>
        <v>27.299999999999997</v>
      </c>
      <c r="AO88" s="19" t="s">
        <v>14</v>
      </c>
      <c r="AP88" s="126">
        <v>39</v>
      </c>
      <c r="AQ88" s="15">
        <v>22</v>
      </c>
      <c r="AR88" s="15">
        <v>0.7</v>
      </c>
      <c r="AS88" s="15">
        <f t="shared" si="60"/>
        <v>27.299999999999997</v>
      </c>
      <c r="AT88" s="19">
        <f t="shared" si="82"/>
        <v>15.399999999999999</v>
      </c>
      <c r="AU88" s="15">
        <f t="shared" si="71"/>
        <v>42.699999999999996</v>
      </c>
      <c r="AW88" s="19" t="s">
        <v>14</v>
      </c>
      <c r="AX88" s="15">
        <v>28</v>
      </c>
      <c r="AY88" s="15">
        <v>183</v>
      </c>
      <c r="AZ88" s="15">
        <v>0.7</v>
      </c>
      <c r="BA88" s="15">
        <f t="shared" si="61"/>
        <v>19.599999999999998</v>
      </c>
      <c r="BB88" s="19">
        <f t="shared" si="83"/>
        <v>128.1</v>
      </c>
      <c r="BC88" s="15">
        <f t="shared" si="72"/>
        <v>147.69999999999999</v>
      </c>
      <c r="BD88" s="1"/>
      <c r="BE88" s="19" t="s">
        <v>14</v>
      </c>
      <c r="BF88" s="15">
        <v>41</v>
      </c>
      <c r="BG88" s="15">
        <v>108</v>
      </c>
      <c r="BH88" s="15">
        <v>0.7</v>
      </c>
      <c r="BI88" s="15">
        <f t="shared" si="62"/>
        <v>28.7</v>
      </c>
      <c r="BJ88" s="19">
        <f t="shared" si="84"/>
        <v>75.599999999999994</v>
      </c>
      <c r="BK88" s="15">
        <f t="shared" si="73"/>
        <v>104.3</v>
      </c>
      <c r="BM88" s="19" t="s">
        <v>14</v>
      </c>
      <c r="BN88" s="15">
        <v>18</v>
      </c>
      <c r="BO88" s="15">
        <v>138</v>
      </c>
      <c r="BP88" s="15">
        <v>0.7</v>
      </c>
      <c r="BQ88" s="15">
        <f t="shared" si="63"/>
        <v>12.6</v>
      </c>
      <c r="BR88" s="19">
        <f t="shared" si="85"/>
        <v>96.6</v>
      </c>
      <c r="BS88" s="15">
        <f t="shared" si="74"/>
        <v>109.19999999999999</v>
      </c>
      <c r="BU88" s="19" t="s">
        <v>14</v>
      </c>
      <c r="BV88" s="15">
        <v>18</v>
      </c>
      <c r="BW88" s="15">
        <v>118</v>
      </c>
      <c r="BX88" s="15">
        <v>0.7</v>
      </c>
      <c r="BY88" s="15">
        <f t="shared" si="64"/>
        <v>12.6</v>
      </c>
      <c r="BZ88" s="19">
        <f t="shared" si="86"/>
        <v>82.6</v>
      </c>
      <c r="CA88" s="81">
        <f t="shared" si="75"/>
        <v>95.199999999999989</v>
      </c>
      <c r="CC88" s="19" t="s">
        <v>14</v>
      </c>
      <c r="CD88" s="15">
        <v>29</v>
      </c>
      <c r="CE88" s="166">
        <f>148+181+150</f>
        <v>479</v>
      </c>
      <c r="CF88" s="15">
        <v>0.7</v>
      </c>
      <c r="CG88" s="15">
        <f t="shared" si="65"/>
        <v>20.299999999999997</v>
      </c>
      <c r="CH88" s="19">
        <f t="shared" si="87"/>
        <v>335.29999999999995</v>
      </c>
      <c r="CI88" s="84">
        <f t="shared" si="76"/>
        <v>355.59999999999997</v>
      </c>
      <c r="CK88" s="19" t="s">
        <v>14</v>
      </c>
      <c r="CL88" s="15">
        <v>42</v>
      </c>
      <c r="CM88" s="15">
        <f>272+166</f>
        <v>438</v>
      </c>
      <c r="CN88" s="15">
        <v>0.7</v>
      </c>
      <c r="CO88" s="15">
        <f t="shared" si="66"/>
        <v>29.4</v>
      </c>
      <c r="CP88" s="19">
        <f t="shared" si="88"/>
        <v>306.59999999999997</v>
      </c>
      <c r="CQ88" s="15">
        <f t="shared" si="77"/>
        <v>335.99999999999994</v>
      </c>
    </row>
    <row r="89" spans="1:95">
      <c r="A89" s="19" t="s">
        <v>15</v>
      </c>
      <c r="B89" s="15">
        <v>67</v>
      </c>
      <c r="C89" s="15">
        <f>450+495</f>
        <v>945</v>
      </c>
      <c r="D89" s="15">
        <v>0.4</v>
      </c>
      <c r="E89" s="84">
        <f t="shared" si="55"/>
        <v>26.8</v>
      </c>
      <c r="F89" s="82">
        <f t="shared" si="78"/>
        <v>378</v>
      </c>
      <c r="G89" s="81">
        <f t="shared" si="67"/>
        <v>404.8</v>
      </c>
      <c r="I89" s="19" t="s">
        <v>15</v>
      </c>
      <c r="J89" s="15">
        <v>37</v>
      </c>
      <c r="K89" s="15">
        <f>112+160</f>
        <v>272</v>
      </c>
      <c r="L89" s="15">
        <v>0.4</v>
      </c>
      <c r="M89" s="15">
        <f t="shared" si="56"/>
        <v>14.8</v>
      </c>
      <c r="N89" s="82">
        <f t="shared" si="89"/>
        <v>108.80000000000001</v>
      </c>
      <c r="O89" s="81">
        <f t="shared" si="90"/>
        <v>123.60000000000001</v>
      </c>
      <c r="Q89" s="19" t="s">
        <v>15</v>
      </c>
      <c r="R89" s="15">
        <v>23</v>
      </c>
      <c r="S89" s="15">
        <v>220</v>
      </c>
      <c r="T89" s="15">
        <v>0.4</v>
      </c>
      <c r="U89" s="15">
        <f t="shared" si="57"/>
        <v>9.2000000000000011</v>
      </c>
      <c r="V89" s="19">
        <f t="shared" si="79"/>
        <v>88</v>
      </c>
      <c r="W89" s="81">
        <f t="shared" si="68"/>
        <v>97.2</v>
      </c>
      <c r="Y89" s="19" t="s">
        <v>15</v>
      </c>
      <c r="Z89" s="15">
        <v>114</v>
      </c>
      <c r="AA89" s="15">
        <v>0</v>
      </c>
      <c r="AB89" s="15">
        <v>0.4</v>
      </c>
      <c r="AC89" s="15">
        <f t="shared" si="58"/>
        <v>45.6</v>
      </c>
      <c r="AD89" s="19">
        <f t="shared" si="80"/>
        <v>0</v>
      </c>
      <c r="AE89" s="81">
        <f t="shared" si="69"/>
        <v>45.6</v>
      </c>
      <c r="AG89" s="19" t="s">
        <v>15</v>
      </c>
      <c r="AH89" s="15">
        <v>18</v>
      </c>
      <c r="AI89" s="15"/>
      <c r="AJ89" s="15">
        <v>0.4</v>
      </c>
      <c r="AK89" s="15">
        <f t="shared" si="59"/>
        <v>7.2</v>
      </c>
      <c r="AL89" s="19">
        <f t="shared" si="81"/>
        <v>0</v>
      </c>
      <c r="AM89" s="81">
        <f t="shared" si="70"/>
        <v>7.2</v>
      </c>
      <c r="AN89" s="1"/>
      <c r="AO89" s="86" t="s">
        <v>84</v>
      </c>
      <c r="AP89" s="15">
        <v>108</v>
      </c>
      <c r="AQ89" s="15">
        <v>118</v>
      </c>
      <c r="AR89" s="15">
        <v>0.4</v>
      </c>
      <c r="AS89" s="15">
        <f t="shared" si="60"/>
        <v>43.2</v>
      </c>
      <c r="AT89" s="19">
        <f t="shared" si="82"/>
        <v>47.2</v>
      </c>
      <c r="AU89" s="15">
        <f t="shared" si="71"/>
        <v>90.4</v>
      </c>
      <c r="AW89" s="19" t="s">
        <v>15</v>
      </c>
      <c r="AX89" s="15">
        <v>112</v>
      </c>
      <c r="AY89" s="15">
        <v>895</v>
      </c>
      <c r="AZ89" s="15">
        <v>0.4</v>
      </c>
      <c r="BA89" s="15">
        <f t="shared" si="61"/>
        <v>44.800000000000004</v>
      </c>
      <c r="BB89" s="19">
        <f t="shared" si="83"/>
        <v>358</v>
      </c>
      <c r="BC89" s="15">
        <f t="shared" si="72"/>
        <v>402.8</v>
      </c>
      <c r="BD89" s="1"/>
      <c r="BE89" s="19" t="s">
        <v>15</v>
      </c>
      <c r="BF89" s="15">
        <v>118</v>
      </c>
      <c r="BG89" s="15">
        <v>937</v>
      </c>
      <c r="BH89" s="15">
        <v>0.4</v>
      </c>
      <c r="BI89" s="15">
        <f t="shared" si="62"/>
        <v>47.2</v>
      </c>
      <c r="BJ89" s="19">
        <f t="shared" si="84"/>
        <v>374.8</v>
      </c>
      <c r="BK89" s="15">
        <f t="shared" si="73"/>
        <v>422</v>
      </c>
      <c r="BL89" s="1"/>
      <c r="BM89" s="19" t="s">
        <v>15</v>
      </c>
      <c r="BN89" s="15">
        <v>76</v>
      </c>
      <c r="BO89" s="15">
        <v>287</v>
      </c>
      <c r="BP89" s="15">
        <v>0.4</v>
      </c>
      <c r="BQ89" s="15">
        <f t="shared" si="63"/>
        <v>30.400000000000002</v>
      </c>
      <c r="BR89" s="19">
        <f t="shared" si="85"/>
        <v>114.80000000000001</v>
      </c>
      <c r="BS89" s="15">
        <f t="shared" si="74"/>
        <v>145.20000000000002</v>
      </c>
      <c r="BU89" s="19" t="s">
        <v>15</v>
      </c>
      <c r="BV89" s="15">
        <v>56</v>
      </c>
      <c r="BW89" s="15">
        <v>0</v>
      </c>
      <c r="BX89" s="15">
        <v>0.4</v>
      </c>
      <c r="BY89" s="15">
        <f t="shared" si="64"/>
        <v>22.400000000000002</v>
      </c>
      <c r="BZ89" s="19">
        <f t="shared" si="86"/>
        <v>0</v>
      </c>
      <c r="CA89" s="81">
        <f t="shared" si="75"/>
        <v>22.400000000000002</v>
      </c>
      <c r="CC89" s="19" t="s">
        <v>15</v>
      </c>
      <c r="CD89" s="15">
        <v>6</v>
      </c>
      <c r="CE89" s="165">
        <f>525-450</f>
        <v>75</v>
      </c>
      <c r="CF89" s="15">
        <v>0.4</v>
      </c>
      <c r="CG89" s="15">
        <f t="shared" si="65"/>
        <v>2.4000000000000004</v>
      </c>
      <c r="CH89" s="19">
        <f t="shared" si="87"/>
        <v>30</v>
      </c>
      <c r="CI89" s="84">
        <f t="shared" si="76"/>
        <v>32.4</v>
      </c>
      <c r="CK89" s="19" t="s">
        <v>15</v>
      </c>
      <c r="CL89" s="15">
        <v>0</v>
      </c>
      <c r="CM89" s="15">
        <f>225</f>
        <v>225</v>
      </c>
      <c r="CN89" s="15">
        <v>0.4</v>
      </c>
      <c r="CO89" s="15">
        <f t="shared" si="66"/>
        <v>0</v>
      </c>
      <c r="CP89" s="19">
        <f t="shared" si="88"/>
        <v>90</v>
      </c>
      <c r="CQ89" s="15">
        <f t="shared" si="77"/>
        <v>90</v>
      </c>
    </row>
    <row r="90" spans="1:95">
      <c r="A90" s="86" t="s">
        <v>49</v>
      </c>
      <c r="B90" s="15">
        <v>0</v>
      </c>
      <c r="C90" s="15">
        <v>29</v>
      </c>
      <c r="D90" s="15">
        <v>0.4</v>
      </c>
      <c r="E90" s="84">
        <f t="shared" si="55"/>
        <v>0</v>
      </c>
      <c r="F90" s="87">
        <f t="shared" si="78"/>
        <v>11.600000000000001</v>
      </c>
      <c r="G90" s="81">
        <f t="shared" si="67"/>
        <v>11.600000000000001</v>
      </c>
      <c r="I90" s="86" t="s">
        <v>49</v>
      </c>
      <c r="J90" s="15">
        <v>0</v>
      </c>
      <c r="K90" s="15">
        <v>73</v>
      </c>
      <c r="L90" s="15">
        <v>0.4</v>
      </c>
      <c r="M90" s="15">
        <f t="shared" si="56"/>
        <v>0</v>
      </c>
      <c r="N90" s="82">
        <f t="shared" si="89"/>
        <v>29.200000000000003</v>
      </c>
      <c r="O90" s="81">
        <f t="shared" si="90"/>
        <v>29.200000000000003</v>
      </c>
      <c r="Q90" s="19" t="s">
        <v>16</v>
      </c>
      <c r="R90" s="15">
        <v>0</v>
      </c>
      <c r="S90" s="15">
        <v>15</v>
      </c>
      <c r="T90" s="15">
        <v>0.2</v>
      </c>
      <c r="U90" s="15">
        <f t="shared" si="57"/>
        <v>0</v>
      </c>
      <c r="V90" s="19">
        <f t="shared" si="79"/>
        <v>3</v>
      </c>
      <c r="W90" s="81">
        <f t="shared" si="68"/>
        <v>3</v>
      </c>
      <c r="X90" s="74">
        <f>X88/0.7</f>
        <v>42.857142857142861</v>
      </c>
      <c r="Y90" s="19" t="s">
        <v>16</v>
      </c>
      <c r="Z90" s="15">
        <v>0</v>
      </c>
      <c r="AA90" s="15">
        <v>0</v>
      </c>
      <c r="AB90" s="15">
        <v>0.2</v>
      </c>
      <c r="AC90" s="15">
        <f t="shared" si="58"/>
        <v>0</v>
      </c>
      <c r="AD90" s="19">
        <f t="shared" si="80"/>
        <v>0</v>
      </c>
      <c r="AE90" s="81">
        <f t="shared" si="69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59"/>
        <v>0</v>
      </c>
      <c r="AL90" s="19">
        <f t="shared" si="81"/>
        <v>0</v>
      </c>
      <c r="AM90" s="81">
        <f t="shared" si="70"/>
        <v>0</v>
      </c>
      <c r="AO90" s="19" t="s">
        <v>16</v>
      </c>
      <c r="AP90" s="15">
        <v>0</v>
      </c>
      <c r="AQ90" s="15">
        <v>0</v>
      </c>
      <c r="AR90" s="15">
        <v>0.2</v>
      </c>
      <c r="AS90" s="15">
        <f t="shared" si="60"/>
        <v>0</v>
      </c>
      <c r="AT90" s="19">
        <f t="shared" si="82"/>
        <v>0</v>
      </c>
      <c r="AU90" s="15">
        <f t="shared" si="71"/>
        <v>0</v>
      </c>
      <c r="AW90" s="86" t="s">
        <v>16</v>
      </c>
      <c r="AX90" s="15">
        <v>0</v>
      </c>
      <c r="AY90" s="15">
        <v>0</v>
      </c>
      <c r="AZ90" s="15">
        <v>0.2</v>
      </c>
      <c r="BA90" s="15">
        <f t="shared" si="61"/>
        <v>0</v>
      </c>
      <c r="BB90" s="19">
        <f t="shared" si="83"/>
        <v>0</v>
      </c>
      <c r="BC90" s="15">
        <f t="shared" si="72"/>
        <v>0</v>
      </c>
      <c r="BD90" s="1"/>
      <c r="BE90" s="86" t="s">
        <v>92</v>
      </c>
      <c r="BF90" s="15">
        <v>0</v>
      </c>
      <c r="BG90" s="15">
        <v>0</v>
      </c>
      <c r="BH90" s="15">
        <v>0.2</v>
      </c>
      <c r="BI90" s="15">
        <f t="shared" si="62"/>
        <v>0</v>
      </c>
      <c r="BJ90" s="19">
        <f t="shared" si="84"/>
        <v>0</v>
      </c>
      <c r="BK90" s="15">
        <f t="shared" si="73"/>
        <v>0</v>
      </c>
      <c r="BL90" s="1"/>
      <c r="BM90" s="19" t="s">
        <v>49</v>
      </c>
      <c r="BN90" s="15">
        <v>0</v>
      </c>
      <c r="BO90" s="15">
        <v>96</v>
      </c>
      <c r="BP90" s="15">
        <v>0.2</v>
      </c>
      <c r="BQ90" s="15">
        <f t="shared" si="63"/>
        <v>0</v>
      </c>
      <c r="BR90" s="19">
        <f t="shared" si="85"/>
        <v>19.200000000000003</v>
      </c>
      <c r="BS90" s="15">
        <f t="shared" si="74"/>
        <v>19.200000000000003</v>
      </c>
      <c r="BU90" s="86" t="s">
        <v>49</v>
      </c>
      <c r="BV90" s="15">
        <v>0</v>
      </c>
      <c r="BW90" s="15">
        <v>60</v>
      </c>
      <c r="BX90" s="15">
        <v>0.2</v>
      </c>
      <c r="BY90" s="15">
        <f t="shared" si="64"/>
        <v>0</v>
      </c>
      <c r="BZ90" s="19">
        <f t="shared" si="86"/>
        <v>12</v>
      </c>
      <c r="CA90" s="81">
        <f t="shared" si="75"/>
        <v>12</v>
      </c>
      <c r="CC90" s="86" t="s">
        <v>49</v>
      </c>
      <c r="CD90" s="15">
        <v>0</v>
      </c>
      <c r="CE90" s="15">
        <v>62</v>
      </c>
      <c r="CF90" s="15">
        <v>0.2</v>
      </c>
      <c r="CG90" s="15">
        <f t="shared" si="65"/>
        <v>0</v>
      </c>
      <c r="CH90" s="19">
        <f t="shared" si="87"/>
        <v>12.4</v>
      </c>
      <c r="CI90" s="84">
        <f t="shared" si="76"/>
        <v>12.4</v>
      </c>
      <c r="CK90" s="86" t="s">
        <v>49</v>
      </c>
      <c r="CL90" s="15">
        <v>0</v>
      </c>
      <c r="CM90" s="15">
        <v>38</v>
      </c>
      <c r="CN90" s="15">
        <v>0.2</v>
      </c>
      <c r="CO90" s="15">
        <f t="shared" si="66"/>
        <v>0</v>
      </c>
      <c r="CP90" s="19">
        <f t="shared" si="88"/>
        <v>7.6000000000000005</v>
      </c>
      <c r="CQ90" s="15">
        <f t="shared" si="77"/>
        <v>7.6000000000000005</v>
      </c>
    </row>
    <row r="91" spans="1:95">
      <c r="A91" s="19" t="s">
        <v>17</v>
      </c>
      <c r="B91" s="15">
        <v>8</v>
      </c>
      <c r="C91" s="15">
        <v>600</v>
      </c>
      <c r="D91" s="15">
        <v>0.16</v>
      </c>
      <c r="E91" s="84">
        <f t="shared" si="55"/>
        <v>1.28</v>
      </c>
      <c r="F91" s="82">
        <f t="shared" si="78"/>
        <v>96</v>
      </c>
      <c r="G91" s="81">
        <f t="shared" si="67"/>
        <v>97.28</v>
      </c>
      <c r="I91" s="19" t="s">
        <v>17</v>
      </c>
      <c r="J91" s="15">
        <v>12</v>
      </c>
      <c r="K91" s="15">
        <f>131+504</f>
        <v>635</v>
      </c>
      <c r="L91" s="15">
        <v>0.16</v>
      </c>
      <c r="M91" s="15">
        <f t="shared" si="56"/>
        <v>1.92</v>
      </c>
      <c r="N91" s="82">
        <f t="shared" si="89"/>
        <v>101.60000000000001</v>
      </c>
      <c r="O91" s="81">
        <f t="shared" si="90"/>
        <v>103.52000000000001</v>
      </c>
      <c r="Q91" s="19" t="s">
        <v>17</v>
      </c>
      <c r="R91" s="15">
        <v>22</v>
      </c>
      <c r="S91" s="15">
        <f>375+1161</f>
        <v>1536</v>
      </c>
      <c r="T91" s="15">
        <v>0.16</v>
      </c>
      <c r="U91" s="15">
        <f t="shared" si="57"/>
        <v>3.52</v>
      </c>
      <c r="V91" s="19">
        <f t="shared" si="79"/>
        <v>245.76</v>
      </c>
      <c r="W91" s="81">
        <f t="shared" si="68"/>
        <v>249.28</v>
      </c>
      <c r="Y91" s="19" t="s">
        <v>17</v>
      </c>
      <c r="Z91" s="15">
        <v>12</v>
      </c>
      <c r="AA91" s="15">
        <v>937.5</v>
      </c>
      <c r="AB91" s="15">
        <v>0.16</v>
      </c>
      <c r="AC91" s="15">
        <f t="shared" si="58"/>
        <v>1.92</v>
      </c>
      <c r="AD91" s="19">
        <f t="shared" si="80"/>
        <v>150</v>
      </c>
      <c r="AE91" s="81">
        <f t="shared" si="69"/>
        <v>151.91999999999999</v>
      </c>
      <c r="AG91" s="19" t="s">
        <v>17</v>
      </c>
      <c r="AH91" s="15">
        <v>18</v>
      </c>
      <c r="AI91" s="15">
        <v>313</v>
      </c>
      <c r="AJ91" s="15">
        <v>0.16</v>
      </c>
      <c r="AK91" s="15">
        <f t="shared" si="59"/>
        <v>2.88</v>
      </c>
      <c r="AL91" s="19">
        <f t="shared" si="81"/>
        <v>50.08</v>
      </c>
      <c r="AM91" s="81">
        <f t="shared" si="70"/>
        <v>52.96</v>
      </c>
      <c r="AO91" s="19" t="s">
        <v>17</v>
      </c>
      <c r="AP91" s="15">
        <v>8</v>
      </c>
      <c r="AQ91" s="15">
        <v>340</v>
      </c>
      <c r="AR91" s="15">
        <v>0.16</v>
      </c>
      <c r="AS91" s="15">
        <f t="shared" si="60"/>
        <v>1.28</v>
      </c>
      <c r="AT91" s="19">
        <f t="shared" si="82"/>
        <v>54.4</v>
      </c>
      <c r="AU91" s="15">
        <f t="shared" si="71"/>
        <v>55.68</v>
      </c>
      <c r="AW91" s="19" t="s">
        <v>17</v>
      </c>
      <c r="AX91" s="15">
        <v>0</v>
      </c>
      <c r="AY91" s="15">
        <v>0</v>
      </c>
      <c r="AZ91" s="15">
        <v>0.16</v>
      </c>
      <c r="BA91" s="15">
        <f t="shared" si="61"/>
        <v>0</v>
      </c>
      <c r="BB91" s="19">
        <f t="shared" si="83"/>
        <v>0</v>
      </c>
      <c r="BC91" s="15">
        <f t="shared" si="72"/>
        <v>0</v>
      </c>
      <c r="BE91" s="19" t="s">
        <v>17</v>
      </c>
      <c r="BF91" s="15">
        <v>0</v>
      </c>
      <c r="BG91" s="15">
        <v>0</v>
      </c>
      <c r="BH91" s="15">
        <v>0.16</v>
      </c>
      <c r="BI91" s="15">
        <f t="shared" si="62"/>
        <v>0</v>
      </c>
      <c r="BJ91" s="83">
        <f t="shared" si="84"/>
        <v>0</v>
      </c>
      <c r="BK91" s="15">
        <f t="shared" si="73"/>
        <v>0</v>
      </c>
      <c r="BM91" s="19" t="s">
        <v>17</v>
      </c>
      <c r="BN91" s="15">
        <v>0</v>
      </c>
      <c r="BO91" s="15">
        <v>0</v>
      </c>
      <c r="BP91" s="15">
        <v>0.16</v>
      </c>
      <c r="BQ91" s="15">
        <f t="shared" si="63"/>
        <v>0</v>
      </c>
      <c r="BR91" s="19">
        <f t="shared" si="85"/>
        <v>0</v>
      </c>
      <c r="BS91" s="15">
        <f t="shared" si="74"/>
        <v>0</v>
      </c>
      <c r="BU91" s="19" t="s">
        <v>17</v>
      </c>
      <c r="BV91" s="15">
        <v>6</v>
      </c>
      <c r="BW91" s="15">
        <v>0</v>
      </c>
      <c r="BX91" s="15">
        <v>0.16</v>
      </c>
      <c r="BY91" s="15">
        <f t="shared" si="64"/>
        <v>0.96</v>
      </c>
      <c r="BZ91" s="19">
        <f t="shared" si="86"/>
        <v>0</v>
      </c>
      <c r="CA91" s="81">
        <f t="shared" si="75"/>
        <v>0.96</v>
      </c>
      <c r="CC91" s="19" t="s">
        <v>17</v>
      </c>
      <c r="CD91" s="15">
        <v>4</v>
      </c>
      <c r="CE91" s="15">
        <v>0</v>
      </c>
      <c r="CF91" s="15">
        <v>0.16</v>
      </c>
      <c r="CG91" s="15">
        <f t="shared" si="65"/>
        <v>0.64</v>
      </c>
      <c r="CH91" s="19">
        <f t="shared" si="87"/>
        <v>0</v>
      </c>
      <c r="CI91" s="84">
        <f t="shared" si="76"/>
        <v>0.64</v>
      </c>
      <c r="CK91" s="19" t="s">
        <v>17</v>
      </c>
      <c r="CL91" s="15">
        <v>2</v>
      </c>
      <c r="CM91" s="15">
        <f>313+427.5</f>
        <v>740.5</v>
      </c>
      <c r="CN91" s="15">
        <v>0.16</v>
      </c>
      <c r="CO91" s="15">
        <f t="shared" si="66"/>
        <v>0.32</v>
      </c>
      <c r="CP91" s="19">
        <f t="shared" si="88"/>
        <v>118.48</v>
      </c>
      <c r="CQ91" s="15">
        <f t="shared" si="77"/>
        <v>118.8</v>
      </c>
    </row>
    <row r="92" spans="1:95">
      <c r="A92" s="19" t="s">
        <v>18</v>
      </c>
      <c r="B92" s="15">
        <v>178</v>
      </c>
      <c r="C92" s="15">
        <f>219+984</f>
        <v>1203</v>
      </c>
      <c r="D92" s="15">
        <v>0.12</v>
      </c>
      <c r="E92" s="84">
        <f t="shared" si="55"/>
        <v>21.36</v>
      </c>
      <c r="F92" s="82">
        <f t="shared" si="78"/>
        <v>144.35999999999999</v>
      </c>
      <c r="G92" s="81">
        <f t="shared" si="67"/>
        <v>165.71999999999997</v>
      </c>
      <c r="I92" s="19" t="s">
        <v>18</v>
      </c>
      <c r="J92" s="15">
        <v>145</v>
      </c>
      <c r="K92" s="15">
        <v>1344</v>
      </c>
      <c r="L92" s="15">
        <v>0.12</v>
      </c>
      <c r="M92" s="15">
        <f t="shared" si="56"/>
        <v>17.399999999999999</v>
      </c>
      <c r="N92" s="82">
        <f t="shared" si="89"/>
        <v>161.28</v>
      </c>
      <c r="O92" s="81">
        <f t="shared" si="90"/>
        <v>178.68</v>
      </c>
      <c r="Q92" s="19" t="s">
        <v>18</v>
      </c>
      <c r="R92" s="15">
        <v>184</v>
      </c>
      <c r="S92" s="15">
        <f>(592+2688)-1547</f>
        <v>1733</v>
      </c>
      <c r="T92" s="15">
        <v>0.12</v>
      </c>
      <c r="U92" s="15">
        <f t="shared" si="57"/>
        <v>22.08</v>
      </c>
      <c r="V92" s="19">
        <f t="shared" si="79"/>
        <v>207.95999999999998</v>
      </c>
      <c r="W92" s="81">
        <f t="shared" si="68"/>
        <v>230.03999999999996</v>
      </c>
      <c r="X92" s="88">
        <f>W92-230</f>
        <v>3.999999999996362E-2</v>
      </c>
      <c r="Y92" s="19" t="s">
        <v>18</v>
      </c>
      <c r="Z92" s="15">
        <v>168</v>
      </c>
      <c r="AA92" s="15">
        <f>2496-158</f>
        <v>2338</v>
      </c>
      <c r="AB92" s="15">
        <v>0.12</v>
      </c>
      <c r="AC92" s="15">
        <f t="shared" si="58"/>
        <v>20.16</v>
      </c>
      <c r="AD92" s="19">
        <f t="shared" si="80"/>
        <v>280.56</v>
      </c>
      <c r="AE92" s="81">
        <f t="shared" si="69"/>
        <v>300.72000000000003</v>
      </c>
      <c r="AG92" s="19" t="s">
        <v>18</v>
      </c>
      <c r="AH92" s="15">
        <v>226</v>
      </c>
      <c r="AI92" s="15">
        <f>459+1440</f>
        <v>1899</v>
      </c>
      <c r="AJ92" s="15">
        <v>0.12</v>
      </c>
      <c r="AK92" s="15">
        <f t="shared" si="59"/>
        <v>27.119999999999997</v>
      </c>
      <c r="AL92" s="19">
        <f t="shared" si="81"/>
        <v>227.88</v>
      </c>
      <c r="AM92" s="81">
        <f t="shared" si="70"/>
        <v>255</v>
      </c>
      <c r="AO92" s="19" t="s">
        <v>18</v>
      </c>
      <c r="AP92" s="15">
        <v>146</v>
      </c>
      <c r="AQ92" s="15">
        <v>638</v>
      </c>
      <c r="AR92" s="15">
        <v>0.12</v>
      </c>
      <c r="AS92" s="15">
        <f t="shared" si="60"/>
        <v>17.52</v>
      </c>
      <c r="AT92" s="19">
        <f t="shared" si="82"/>
        <v>76.56</v>
      </c>
      <c r="AU92" s="15">
        <f t="shared" si="71"/>
        <v>94.08</v>
      </c>
      <c r="AV92">
        <f>AT91+AT92</f>
        <v>130.96</v>
      </c>
      <c r="AW92" s="19" t="s">
        <v>18</v>
      </c>
      <c r="AX92" s="15">
        <v>0</v>
      </c>
      <c r="AY92" s="15">
        <v>0</v>
      </c>
      <c r="AZ92" s="15">
        <v>0.12</v>
      </c>
      <c r="BA92" s="15">
        <f t="shared" si="61"/>
        <v>0</v>
      </c>
      <c r="BB92" s="19">
        <f t="shared" si="83"/>
        <v>0</v>
      </c>
      <c r="BC92" s="15">
        <f t="shared" si="72"/>
        <v>0</v>
      </c>
      <c r="BE92" s="19" t="s">
        <v>18</v>
      </c>
      <c r="BF92" s="15">
        <v>15</v>
      </c>
      <c r="BG92" s="15">
        <v>0</v>
      </c>
      <c r="BH92" s="15">
        <v>0.12</v>
      </c>
      <c r="BI92" s="15">
        <f t="shared" si="62"/>
        <v>1.7999999999999998</v>
      </c>
      <c r="BJ92" s="19">
        <f t="shared" si="84"/>
        <v>0</v>
      </c>
      <c r="BK92" s="15">
        <f t="shared" si="73"/>
        <v>1.7999999999999998</v>
      </c>
      <c r="BM92" s="19" t="s">
        <v>18</v>
      </c>
      <c r="BN92" s="15">
        <v>18</v>
      </c>
      <c r="BO92" s="15">
        <v>0</v>
      </c>
      <c r="BP92" s="15">
        <v>0.12</v>
      </c>
      <c r="BQ92" s="15">
        <f t="shared" si="63"/>
        <v>2.16</v>
      </c>
      <c r="BR92" s="19">
        <f t="shared" si="85"/>
        <v>0</v>
      </c>
      <c r="BS92" s="15">
        <f t="shared" si="74"/>
        <v>2.16</v>
      </c>
      <c r="BU92" s="19" t="s">
        <v>18</v>
      </c>
      <c r="BV92" s="15">
        <v>96</v>
      </c>
      <c r="BW92" s="15">
        <v>0</v>
      </c>
      <c r="BX92" s="15">
        <v>0.12</v>
      </c>
      <c r="BY92" s="15">
        <f t="shared" si="64"/>
        <v>11.52</v>
      </c>
      <c r="BZ92" s="19">
        <f t="shared" si="86"/>
        <v>0</v>
      </c>
      <c r="CA92" s="81">
        <f t="shared" si="75"/>
        <v>11.52</v>
      </c>
      <c r="CC92" s="19" t="s">
        <v>18</v>
      </c>
      <c r="CD92" s="15">
        <v>15</v>
      </c>
      <c r="CE92" s="15">
        <v>0</v>
      </c>
      <c r="CF92" s="15">
        <v>0.12</v>
      </c>
      <c r="CG92" s="15">
        <f t="shared" si="65"/>
        <v>1.7999999999999998</v>
      </c>
      <c r="CH92" s="19">
        <f t="shared" si="87"/>
        <v>0</v>
      </c>
      <c r="CI92" s="84">
        <f t="shared" si="76"/>
        <v>1.7999999999999998</v>
      </c>
      <c r="CK92" s="19" t="s">
        <v>18</v>
      </c>
      <c r="CL92" s="165">
        <f>108-88</f>
        <v>20</v>
      </c>
      <c r="CM92" s="165">
        <f>482-482</f>
        <v>0</v>
      </c>
      <c r="CN92" s="15">
        <v>0.12</v>
      </c>
      <c r="CO92" s="15">
        <f t="shared" si="66"/>
        <v>2.4</v>
      </c>
      <c r="CP92" s="19">
        <f t="shared" si="88"/>
        <v>0</v>
      </c>
      <c r="CQ92" s="15">
        <f t="shared" si="77"/>
        <v>2.4</v>
      </c>
    </row>
    <row r="93" spans="1:95">
      <c r="A93" s="19" t="s">
        <v>19</v>
      </c>
      <c r="B93" s="15">
        <v>3</v>
      </c>
      <c r="C93" s="15">
        <v>249</v>
      </c>
      <c r="D93" s="15">
        <v>0.4</v>
      </c>
      <c r="E93" s="84">
        <f t="shared" si="55"/>
        <v>1.2000000000000002</v>
      </c>
      <c r="F93" s="82">
        <f t="shared" si="78"/>
        <v>99.600000000000009</v>
      </c>
      <c r="G93" s="81">
        <f t="shared" si="67"/>
        <v>100.80000000000001</v>
      </c>
      <c r="I93" s="19" t="s">
        <v>19</v>
      </c>
      <c r="J93" s="15">
        <v>7</v>
      </c>
      <c r="K93" s="15">
        <v>200</v>
      </c>
      <c r="L93" s="15">
        <v>0.4</v>
      </c>
      <c r="M93" s="15">
        <f t="shared" si="56"/>
        <v>2.8000000000000003</v>
      </c>
      <c r="N93" s="82">
        <f t="shared" si="89"/>
        <v>80</v>
      </c>
      <c r="O93" s="81">
        <f t="shared" si="90"/>
        <v>82.8</v>
      </c>
      <c r="Q93" s="19" t="s">
        <v>19</v>
      </c>
      <c r="R93" s="15">
        <v>18</v>
      </c>
      <c r="S93" s="15">
        <v>54</v>
      </c>
      <c r="T93" s="15">
        <v>0.4</v>
      </c>
      <c r="U93" s="15">
        <f t="shared" si="57"/>
        <v>7.2</v>
      </c>
      <c r="V93" s="19">
        <f t="shared" si="79"/>
        <v>21.6</v>
      </c>
      <c r="W93" s="81">
        <f t="shared" si="68"/>
        <v>28.8</v>
      </c>
      <c r="Y93" s="19" t="s">
        <v>19</v>
      </c>
      <c r="Z93" s="15">
        <v>32</v>
      </c>
      <c r="AA93" s="15">
        <v>75</v>
      </c>
      <c r="AB93" s="15">
        <v>0.4</v>
      </c>
      <c r="AC93" s="15">
        <f t="shared" si="58"/>
        <v>12.8</v>
      </c>
      <c r="AD93" s="19">
        <f t="shared" si="80"/>
        <v>30</v>
      </c>
      <c r="AE93" s="81">
        <f t="shared" si="69"/>
        <v>42.8</v>
      </c>
      <c r="AG93" s="19" t="s">
        <v>19</v>
      </c>
      <c r="AH93" s="15">
        <v>16</v>
      </c>
      <c r="AI93" s="15">
        <v>143</v>
      </c>
      <c r="AJ93" s="15">
        <v>0.4</v>
      </c>
      <c r="AK93" s="15">
        <f t="shared" si="59"/>
        <v>6.4</v>
      </c>
      <c r="AL93" s="19">
        <f t="shared" si="81"/>
        <v>57.2</v>
      </c>
      <c r="AM93" s="81">
        <f t="shared" si="70"/>
        <v>63.6</v>
      </c>
      <c r="AO93" s="19" t="s">
        <v>19</v>
      </c>
      <c r="AP93" s="15">
        <v>17</v>
      </c>
      <c r="AQ93" s="15">
        <v>240</v>
      </c>
      <c r="AR93" s="15">
        <v>0.4</v>
      </c>
      <c r="AS93" s="15">
        <f t="shared" si="60"/>
        <v>6.8000000000000007</v>
      </c>
      <c r="AT93" s="19">
        <f t="shared" si="82"/>
        <v>96</v>
      </c>
      <c r="AU93" s="15">
        <f t="shared" si="71"/>
        <v>102.8</v>
      </c>
      <c r="AW93" s="19" t="s">
        <v>19</v>
      </c>
      <c r="AX93" s="15">
        <v>17</v>
      </c>
      <c r="AY93" s="15">
        <v>157</v>
      </c>
      <c r="AZ93" s="15">
        <v>0.4</v>
      </c>
      <c r="BA93" s="15">
        <f t="shared" si="61"/>
        <v>6.8000000000000007</v>
      </c>
      <c r="BB93" s="19">
        <f t="shared" si="83"/>
        <v>62.800000000000004</v>
      </c>
      <c r="BC93" s="15">
        <f t="shared" si="72"/>
        <v>69.600000000000009</v>
      </c>
      <c r="BE93" s="19" t="s">
        <v>19</v>
      </c>
      <c r="BF93" s="15">
        <v>21</v>
      </c>
      <c r="BG93" s="15">
        <v>58</v>
      </c>
      <c r="BH93" s="15">
        <v>0.4</v>
      </c>
      <c r="BI93" s="15">
        <f t="shared" si="62"/>
        <v>8.4</v>
      </c>
      <c r="BJ93" s="19">
        <f t="shared" si="84"/>
        <v>23.200000000000003</v>
      </c>
      <c r="BK93" s="15">
        <f t="shared" si="73"/>
        <v>31.6</v>
      </c>
      <c r="BM93" s="19" t="s">
        <v>19</v>
      </c>
      <c r="BN93" s="15">
        <v>4</v>
      </c>
      <c r="BO93" s="15">
        <v>43</v>
      </c>
      <c r="BP93" s="15">
        <v>0.4</v>
      </c>
      <c r="BQ93" s="15">
        <f t="shared" si="63"/>
        <v>1.6</v>
      </c>
      <c r="BR93" s="19">
        <f t="shared" si="85"/>
        <v>17.2</v>
      </c>
      <c r="BS93" s="15">
        <f t="shared" si="74"/>
        <v>18.8</v>
      </c>
      <c r="BU93" s="19" t="s">
        <v>19</v>
      </c>
      <c r="BV93" s="15">
        <v>9</v>
      </c>
      <c r="BW93" s="15">
        <v>43</v>
      </c>
      <c r="BX93" s="15">
        <v>0.4</v>
      </c>
      <c r="BY93" s="15">
        <f t="shared" si="64"/>
        <v>3.6</v>
      </c>
      <c r="BZ93" s="19">
        <f t="shared" si="86"/>
        <v>17.2</v>
      </c>
      <c r="CA93" s="81">
        <f t="shared" si="75"/>
        <v>20.8</v>
      </c>
      <c r="CC93" s="19" t="s">
        <v>19</v>
      </c>
      <c r="CD93" s="15">
        <v>1</v>
      </c>
      <c r="CE93" s="15">
        <v>110</v>
      </c>
      <c r="CF93" s="15">
        <v>0.4</v>
      </c>
      <c r="CG93" s="15">
        <f t="shared" si="65"/>
        <v>0.4</v>
      </c>
      <c r="CH93" s="19">
        <f t="shared" si="87"/>
        <v>44</v>
      </c>
      <c r="CI93" s="84">
        <f t="shared" si="76"/>
        <v>44.4</v>
      </c>
      <c r="CK93" s="19" t="s">
        <v>19</v>
      </c>
      <c r="CL93" s="15">
        <v>28</v>
      </c>
      <c r="CM93" s="15">
        <v>302</v>
      </c>
      <c r="CN93" s="15">
        <v>0.4</v>
      </c>
      <c r="CO93" s="15">
        <f t="shared" si="66"/>
        <v>11.200000000000001</v>
      </c>
      <c r="CP93" s="19">
        <f t="shared" si="88"/>
        <v>120.80000000000001</v>
      </c>
      <c r="CQ93" s="15">
        <f t="shared" si="77"/>
        <v>132</v>
      </c>
    </row>
    <row r="94" spans="1:95">
      <c r="A94" s="19" t="s">
        <v>20</v>
      </c>
      <c r="B94" s="15">
        <v>28</v>
      </c>
      <c r="C94" s="15">
        <f>36+175</f>
        <v>211</v>
      </c>
      <c r="D94" s="15">
        <v>1</v>
      </c>
      <c r="E94" s="84">
        <f t="shared" si="55"/>
        <v>28</v>
      </c>
      <c r="F94" s="82">
        <f t="shared" si="78"/>
        <v>211</v>
      </c>
      <c r="G94" s="81">
        <f t="shared" si="67"/>
        <v>239</v>
      </c>
      <c r="H94" s="1"/>
      <c r="I94" s="19" t="s">
        <v>20</v>
      </c>
      <c r="J94" s="15">
        <v>34</v>
      </c>
      <c r="K94" s="15">
        <v>101</v>
      </c>
      <c r="L94" s="15">
        <v>1</v>
      </c>
      <c r="M94" s="15">
        <f t="shared" si="56"/>
        <v>34</v>
      </c>
      <c r="N94" s="82">
        <f t="shared" si="89"/>
        <v>101</v>
      </c>
      <c r="O94" s="81">
        <f t="shared" si="90"/>
        <v>135</v>
      </c>
      <c r="Q94" s="19" t="s">
        <v>20</v>
      </c>
      <c r="R94" s="15">
        <v>41</v>
      </c>
      <c r="S94" s="15">
        <f>18+57</f>
        <v>75</v>
      </c>
      <c r="T94" s="15">
        <v>1</v>
      </c>
      <c r="U94" s="15">
        <f t="shared" si="57"/>
        <v>41</v>
      </c>
      <c r="V94" s="19">
        <f t="shared" si="79"/>
        <v>75</v>
      </c>
      <c r="W94" s="81">
        <f t="shared" si="68"/>
        <v>116</v>
      </c>
      <c r="X94" s="74">
        <f>X92/0.12</f>
        <v>0.33333333333303017</v>
      </c>
      <c r="Y94" s="19" t="s">
        <v>20</v>
      </c>
      <c r="Z94" s="15">
        <v>35</v>
      </c>
      <c r="AA94" s="15">
        <v>36</v>
      </c>
      <c r="AB94" s="15">
        <v>1</v>
      </c>
      <c r="AC94" s="15">
        <f t="shared" si="58"/>
        <v>35</v>
      </c>
      <c r="AD94" s="19">
        <f t="shared" si="80"/>
        <v>36</v>
      </c>
      <c r="AE94" s="81">
        <f t="shared" si="69"/>
        <v>71</v>
      </c>
      <c r="AG94" s="19" t="s">
        <v>20</v>
      </c>
      <c r="AH94" s="15">
        <v>42</v>
      </c>
      <c r="AI94" s="15">
        <v>18</v>
      </c>
      <c r="AJ94" s="15">
        <v>1</v>
      </c>
      <c r="AK94" s="15">
        <f t="shared" si="59"/>
        <v>42</v>
      </c>
      <c r="AL94" s="19">
        <f t="shared" si="81"/>
        <v>18</v>
      </c>
      <c r="AM94" s="81">
        <f t="shared" si="70"/>
        <v>60</v>
      </c>
      <c r="AO94" s="19" t="s">
        <v>20</v>
      </c>
      <c r="AP94" s="15">
        <v>15</v>
      </c>
      <c r="AQ94" s="15">
        <v>0</v>
      </c>
      <c r="AR94" s="15">
        <v>1</v>
      </c>
      <c r="AS94" s="15">
        <f t="shared" si="60"/>
        <v>15</v>
      </c>
      <c r="AT94" s="19">
        <f t="shared" si="82"/>
        <v>0</v>
      </c>
      <c r="AU94" s="15">
        <f t="shared" si="71"/>
        <v>15</v>
      </c>
      <c r="AW94" s="19" t="s">
        <v>20</v>
      </c>
      <c r="AX94" s="15">
        <v>28</v>
      </c>
      <c r="AY94" s="15">
        <v>0</v>
      </c>
      <c r="AZ94" s="15">
        <v>1</v>
      </c>
      <c r="BA94" s="15">
        <f t="shared" si="61"/>
        <v>28</v>
      </c>
      <c r="BB94" s="19">
        <f t="shared" si="83"/>
        <v>0</v>
      </c>
      <c r="BC94" s="15">
        <f t="shared" si="72"/>
        <v>28</v>
      </c>
      <c r="BE94" s="19" t="s">
        <v>20</v>
      </c>
      <c r="BF94" s="15">
        <v>39</v>
      </c>
      <c r="BG94" s="15">
        <v>0</v>
      </c>
      <c r="BH94" s="15">
        <v>1</v>
      </c>
      <c r="BI94" s="15">
        <f t="shared" si="62"/>
        <v>39</v>
      </c>
      <c r="BJ94" s="19">
        <f t="shared" si="84"/>
        <v>0</v>
      </c>
      <c r="BK94" s="15">
        <f t="shared" si="73"/>
        <v>39</v>
      </c>
      <c r="BM94" s="19" t="s">
        <v>20</v>
      </c>
      <c r="BN94" s="15">
        <v>42</v>
      </c>
      <c r="BO94" s="15">
        <v>60</v>
      </c>
      <c r="BP94" s="15">
        <v>1</v>
      </c>
      <c r="BQ94" s="15">
        <f t="shared" si="63"/>
        <v>42</v>
      </c>
      <c r="BR94" s="19">
        <f t="shared" si="85"/>
        <v>60</v>
      </c>
      <c r="BS94" s="15">
        <f t="shared" si="74"/>
        <v>102</v>
      </c>
      <c r="BU94" s="19" t="s">
        <v>20</v>
      </c>
      <c r="BV94" s="15">
        <v>26</v>
      </c>
      <c r="BW94" s="15">
        <v>48</v>
      </c>
      <c r="BX94" s="15">
        <v>1</v>
      </c>
      <c r="BY94" s="15">
        <f t="shared" si="64"/>
        <v>26</v>
      </c>
      <c r="BZ94" s="19">
        <f t="shared" si="86"/>
        <v>48</v>
      </c>
      <c r="CA94" s="81">
        <f t="shared" si="75"/>
        <v>74</v>
      </c>
      <c r="CC94" s="19" t="s">
        <v>20</v>
      </c>
      <c r="CD94" s="15">
        <v>12</v>
      </c>
      <c r="CE94" s="15">
        <v>0</v>
      </c>
      <c r="CF94" s="15">
        <v>1</v>
      </c>
      <c r="CG94" s="15">
        <f t="shared" si="65"/>
        <v>12</v>
      </c>
      <c r="CH94" s="19">
        <f t="shared" si="87"/>
        <v>0</v>
      </c>
      <c r="CI94" s="84">
        <f t="shared" si="76"/>
        <v>12</v>
      </c>
      <c r="CK94" s="19" t="s">
        <v>20</v>
      </c>
      <c r="CL94" s="15">
        <v>24</v>
      </c>
      <c r="CM94" s="15">
        <v>90</v>
      </c>
      <c r="CN94" s="15">
        <v>1</v>
      </c>
      <c r="CO94" s="15">
        <f t="shared" si="66"/>
        <v>24</v>
      </c>
      <c r="CP94" s="19">
        <f t="shared" si="88"/>
        <v>90</v>
      </c>
      <c r="CQ94" s="15">
        <f t="shared" si="77"/>
        <v>114</v>
      </c>
    </row>
    <row r="95" spans="1:95">
      <c r="A95" s="19" t="s">
        <v>21</v>
      </c>
      <c r="B95" s="15">
        <v>31</v>
      </c>
      <c r="C95" s="15">
        <v>135</v>
      </c>
      <c r="D95" s="15">
        <v>1</v>
      </c>
      <c r="E95" s="84">
        <f t="shared" si="55"/>
        <v>31</v>
      </c>
      <c r="F95" s="82">
        <f t="shared" si="78"/>
        <v>135</v>
      </c>
      <c r="G95" s="81">
        <f t="shared" si="67"/>
        <v>166</v>
      </c>
      <c r="I95" s="19" t="s">
        <v>21</v>
      </c>
      <c r="J95" s="15">
        <v>19</v>
      </c>
      <c r="K95" s="15">
        <f>48+125</f>
        <v>173</v>
      </c>
      <c r="L95" s="15">
        <v>1</v>
      </c>
      <c r="M95" s="15">
        <f t="shared" si="56"/>
        <v>19</v>
      </c>
      <c r="N95" s="82">
        <f t="shared" si="89"/>
        <v>173</v>
      </c>
      <c r="O95" s="81">
        <f t="shared" si="90"/>
        <v>192</v>
      </c>
      <c r="P95" s="1"/>
      <c r="Q95" s="19" t="s">
        <v>21</v>
      </c>
      <c r="R95" s="15">
        <v>19</v>
      </c>
      <c r="S95" s="15">
        <v>43</v>
      </c>
      <c r="T95" s="15">
        <v>1</v>
      </c>
      <c r="U95" s="15">
        <f t="shared" si="57"/>
        <v>19</v>
      </c>
      <c r="V95" s="19">
        <f t="shared" si="79"/>
        <v>43</v>
      </c>
      <c r="W95" s="81">
        <f t="shared" si="68"/>
        <v>62</v>
      </c>
      <c r="X95" s="1"/>
      <c r="Y95" s="19" t="s">
        <v>21</v>
      </c>
      <c r="Z95" s="15">
        <v>25</v>
      </c>
      <c r="AA95" s="15">
        <v>43</v>
      </c>
      <c r="AB95" s="15">
        <v>1</v>
      </c>
      <c r="AC95" s="15">
        <f t="shared" si="58"/>
        <v>25</v>
      </c>
      <c r="AD95" s="19">
        <f t="shared" si="80"/>
        <v>43</v>
      </c>
      <c r="AE95" s="81">
        <f t="shared" si="69"/>
        <v>68</v>
      </c>
      <c r="AF95" s="1"/>
      <c r="AG95" s="19" t="s">
        <v>21</v>
      </c>
      <c r="AH95" s="15">
        <v>6</v>
      </c>
      <c r="AI95" s="15"/>
      <c r="AJ95" s="15">
        <v>1</v>
      </c>
      <c r="AK95" s="15">
        <f t="shared" si="59"/>
        <v>6</v>
      </c>
      <c r="AL95" s="19">
        <f t="shared" si="81"/>
        <v>0</v>
      </c>
      <c r="AM95" s="81">
        <f t="shared" si="70"/>
        <v>6</v>
      </c>
      <c r="AN95" s="1"/>
      <c r="AO95" s="19" t="s">
        <v>21</v>
      </c>
      <c r="AP95" s="15">
        <v>9</v>
      </c>
      <c r="AQ95" s="15">
        <v>0</v>
      </c>
      <c r="AR95" s="15">
        <v>1</v>
      </c>
      <c r="AS95" s="15">
        <f t="shared" si="60"/>
        <v>9</v>
      </c>
      <c r="AT95" s="19">
        <f t="shared" si="82"/>
        <v>0</v>
      </c>
      <c r="AU95" s="15">
        <f t="shared" si="71"/>
        <v>9</v>
      </c>
      <c r="AV95" s="1"/>
      <c r="AW95" s="19" t="s">
        <v>21</v>
      </c>
      <c r="AX95" s="15">
        <v>9</v>
      </c>
      <c r="AY95" s="15">
        <v>0</v>
      </c>
      <c r="AZ95" s="15">
        <v>1</v>
      </c>
      <c r="BA95" s="15">
        <f t="shared" si="61"/>
        <v>9</v>
      </c>
      <c r="BB95" s="19">
        <f t="shared" si="83"/>
        <v>0</v>
      </c>
      <c r="BC95" s="15">
        <f t="shared" si="72"/>
        <v>9</v>
      </c>
      <c r="BD95" s="1"/>
      <c r="BE95" s="19" t="s">
        <v>21</v>
      </c>
      <c r="BF95" s="15">
        <v>13</v>
      </c>
      <c r="BG95" s="15">
        <v>0</v>
      </c>
      <c r="BH95" s="15">
        <v>1</v>
      </c>
      <c r="BI95" s="15">
        <f t="shared" si="62"/>
        <v>13</v>
      </c>
      <c r="BJ95" s="19">
        <f t="shared" si="84"/>
        <v>0</v>
      </c>
      <c r="BK95" s="15">
        <f t="shared" si="73"/>
        <v>13</v>
      </c>
      <c r="BL95" s="1"/>
      <c r="BM95" s="19" t="s">
        <v>21</v>
      </c>
      <c r="BN95" s="15">
        <v>12</v>
      </c>
      <c r="BO95" s="15">
        <v>0</v>
      </c>
      <c r="BP95" s="15">
        <v>1</v>
      </c>
      <c r="BQ95" s="15">
        <f t="shared" si="63"/>
        <v>12</v>
      </c>
      <c r="BR95" s="19">
        <f t="shared" si="85"/>
        <v>0</v>
      </c>
      <c r="BS95" s="15">
        <f t="shared" si="74"/>
        <v>12</v>
      </c>
      <c r="BU95" s="19" t="s">
        <v>21</v>
      </c>
      <c r="BV95" s="15">
        <v>16</v>
      </c>
      <c r="BW95" s="15">
        <v>0</v>
      </c>
      <c r="BX95" s="15">
        <v>1</v>
      </c>
      <c r="BY95" s="15">
        <f t="shared" si="64"/>
        <v>16</v>
      </c>
      <c r="BZ95" s="19">
        <f t="shared" si="86"/>
        <v>0</v>
      </c>
      <c r="CA95" s="81">
        <f t="shared" si="75"/>
        <v>16</v>
      </c>
      <c r="CC95" s="19" t="s">
        <v>21</v>
      </c>
      <c r="CD95" s="15">
        <v>1</v>
      </c>
      <c r="CE95" s="15">
        <v>0</v>
      </c>
      <c r="CF95" s="15">
        <v>1</v>
      </c>
      <c r="CG95" s="15">
        <f t="shared" si="65"/>
        <v>1</v>
      </c>
      <c r="CH95" s="19">
        <f t="shared" si="87"/>
        <v>0</v>
      </c>
      <c r="CI95" s="84">
        <f t="shared" si="76"/>
        <v>1</v>
      </c>
      <c r="CK95" s="19" t="s">
        <v>21</v>
      </c>
      <c r="CL95" s="165">
        <f>11-8</f>
        <v>3</v>
      </c>
      <c r="CM95" s="15">
        <v>0</v>
      </c>
      <c r="CN95" s="15">
        <v>1</v>
      </c>
      <c r="CO95" s="15">
        <f t="shared" si="66"/>
        <v>3</v>
      </c>
      <c r="CP95" s="19">
        <f t="shared" si="88"/>
        <v>0</v>
      </c>
      <c r="CQ95" s="15">
        <f t="shared" si="77"/>
        <v>3</v>
      </c>
    </row>
    <row r="96" spans="1:95">
      <c r="A96" s="19" t="s">
        <v>22</v>
      </c>
      <c r="B96" s="15">
        <v>24</v>
      </c>
      <c r="C96" s="15">
        <v>63</v>
      </c>
      <c r="D96" s="15">
        <v>1</v>
      </c>
      <c r="E96" s="84">
        <f t="shared" si="55"/>
        <v>24</v>
      </c>
      <c r="F96" s="82">
        <f t="shared" si="78"/>
        <v>63</v>
      </c>
      <c r="G96" s="81">
        <f t="shared" si="67"/>
        <v>87</v>
      </c>
      <c r="I96" s="19" t="s">
        <v>22</v>
      </c>
      <c r="J96" s="15">
        <v>11</v>
      </c>
      <c r="K96" s="15">
        <v>100</v>
      </c>
      <c r="L96" s="15">
        <v>1</v>
      </c>
      <c r="M96" s="15">
        <f t="shared" si="56"/>
        <v>11</v>
      </c>
      <c r="N96" s="82">
        <f t="shared" si="89"/>
        <v>100</v>
      </c>
      <c r="O96" s="81">
        <f t="shared" si="90"/>
        <v>111</v>
      </c>
      <c r="Q96" s="19" t="s">
        <v>22</v>
      </c>
      <c r="R96" s="15">
        <v>56</v>
      </c>
      <c r="S96" s="15">
        <v>38</v>
      </c>
      <c r="T96" s="15">
        <v>1</v>
      </c>
      <c r="U96" s="15">
        <f t="shared" si="57"/>
        <v>56</v>
      </c>
      <c r="V96" s="19">
        <f t="shared" si="79"/>
        <v>38</v>
      </c>
      <c r="W96" s="81">
        <f t="shared" si="68"/>
        <v>94</v>
      </c>
      <c r="Y96" s="19" t="s">
        <v>22</v>
      </c>
      <c r="Z96" s="15">
        <v>76</v>
      </c>
      <c r="AA96" s="15">
        <v>9</v>
      </c>
      <c r="AB96" s="15">
        <v>1</v>
      </c>
      <c r="AC96" s="15">
        <f t="shared" si="58"/>
        <v>76</v>
      </c>
      <c r="AD96" s="19">
        <f t="shared" si="80"/>
        <v>9</v>
      </c>
      <c r="AE96" s="81">
        <f t="shared" si="69"/>
        <v>85</v>
      </c>
      <c r="AF96" s="1"/>
      <c r="AG96" s="19" t="s">
        <v>22</v>
      </c>
      <c r="AH96" s="15">
        <v>75</v>
      </c>
      <c r="AI96" s="15">
        <v>23</v>
      </c>
      <c r="AJ96" s="15">
        <v>1</v>
      </c>
      <c r="AK96" s="15">
        <f t="shared" si="59"/>
        <v>75</v>
      </c>
      <c r="AL96" s="19">
        <f t="shared" si="81"/>
        <v>23</v>
      </c>
      <c r="AM96" s="81">
        <f t="shared" si="70"/>
        <v>98</v>
      </c>
      <c r="AO96" s="19" t="s">
        <v>22</v>
      </c>
      <c r="AP96" s="15">
        <v>22</v>
      </c>
      <c r="AQ96" s="15">
        <v>0</v>
      </c>
      <c r="AR96" s="15">
        <v>1</v>
      </c>
      <c r="AS96" s="15">
        <f t="shared" si="60"/>
        <v>22</v>
      </c>
      <c r="AT96" s="19">
        <f t="shared" si="82"/>
        <v>0</v>
      </c>
      <c r="AU96" s="15">
        <f t="shared" si="71"/>
        <v>22</v>
      </c>
      <c r="AW96" s="19" t="s">
        <v>22</v>
      </c>
      <c r="AX96" s="15">
        <v>22</v>
      </c>
      <c r="AY96" s="15">
        <v>98</v>
      </c>
      <c r="AZ96" s="15">
        <v>1</v>
      </c>
      <c r="BA96" s="15">
        <f t="shared" si="61"/>
        <v>22</v>
      </c>
      <c r="BB96" s="19">
        <f t="shared" si="83"/>
        <v>98</v>
      </c>
      <c r="BC96" s="15">
        <f t="shared" si="72"/>
        <v>120</v>
      </c>
      <c r="BE96" s="19" t="s">
        <v>22</v>
      </c>
      <c r="BF96" s="15">
        <v>23</v>
      </c>
      <c r="BG96" s="15">
        <v>83</v>
      </c>
      <c r="BH96" s="15">
        <v>1</v>
      </c>
      <c r="BI96" s="15">
        <f t="shared" si="62"/>
        <v>23</v>
      </c>
      <c r="BJ96" s="19">
        <f t="shared" si="84"/>
        <v>83</v>
      </c>
      <c r="BK96" s="15">
        <f t="shared" si="73"/>
        <v>106</v>
      </c>
      <c r="BM96" s="19" t="s">
        <v>22</v>
      </c>
      <c r="BN96" s="15">
        <v>20</v>
      </c>
      <c r="BO96" s="15">
        <v>115</v>
      </c>
      <c r="BP96" s="15">
        <v>1</v>
      </c>
      <c r="BQ96" s="15">
        <f t="shared" si="63"/>
        <v>20</v>
      </c>
      <c r="BR96" s="19">
        <f t="shared" si="85"/>
        <v>115</v>
      </c>
      <c r="BS96" s="15">
        <f t="shared" si="74"/>
        <v>135</v>
      </c>
      <c r="BU96" s="19" t="s">
        <v>22</v>
      </c>
      <c r="BV96" s="15">
        <v>76</v>
      </c>
      <c r="BW96" s="15">
        <v>81</v>
      </c>
      <c r="BX96" s="15">
        <v>1</v>
      </c>
      <c r="BY96" s="15">
        <f t="shared" si="64"/>
        <v>76</v>
      </c>
      <c r="BZ96" s="19">
        <f t="shared" si="86"/>
        <v>81</v>
      </c>
      <c r="CA96" s="81">
        <f t="shared" si="75"/>
        <v>157</v>
      </c>
      <c r="CC96" s="19" t="s">
        <v>22</v>
      </c>
      <c r="CD96" s="15">
        <v>76</v>
      </c>
      <c r="CE96" s="15">
        <v>79</v>
      </c>
      <c r="CF96" s="15">
        <v>1</v>
      </c>
      <c r="CG96" s="15">
        <f t="shared" si="65"/>
        <v>76</v>
      </c>
      <c r="CH96" s="19">
        <f t="shared" si="87"/>
        <v>79</v>
      </c>
      <c r="CI96" s="84">
        <f t="shared" si="76"/>
        <v>155</v>
      </c>
      <c r="CK96" s="19" t="s">
        <v>22</v>
      </c>
      <c r="CL96" s="15">
        <v>84</v>
      </c>
      <c r="CM96" s="165">
        <f>199-10</f>
        <v>189</v>
      </c>
      <c r="CN96" s="15">
        <v>1</v>
      </c>
      <c r="CO96" s="15">
        <f t="shared" si="66"/>
        <v>84</v>
      </c>
      <c r="CP96" s="19">
        <f t="shared" si="88"/>
        <v>189</v>
      </c>
      <c r="CQ96" s="15">
        <f t="shared" si="77"/>
        <v>273</v>
      </c>
    </row>
    <row r="97" spans="1:95">
      <c r="A97" s="19" t="s">
        <v>23</v>
      </c>
      <c r="B97" s="15">
        <v>32</v>
      </c>
      <c r="C97" s="15">
        <v>0</v>
      </c>
      <c r="D97" s="15">
        <v>0.125</v>
      </c>
      <c r="E97" s="84">
        <f t="shared" si="55"/>
        <v>4</v>
      </c>
      <c r="F97" s="82">
        <f t="shared" si="78"/>
        <v>0</v>
      </c>
      <c r="G97" s="81">
        <f t="shared" si="67"/>
        <v>4</v>
      </c>
      <c r="I97" s="19" t="s">
        <v>23</v>
      </c>
      <c r="J97" s="15">
        <v>38</v>
      </c>
      <c r="K97" s="15">
        <v>77</v>
      </c>
      <c r="L97" s="15">
        <v>0.125</v>
      </c>
      <c r="M97" s="15">
        <f t="shared" si="56"/>
        <v>4.75</v>
      </c>
      <c r="N97" s="82">
        <f t="shared" si="89"/>
        <v>9.625</v>
      </c>
      <c r="O97" s="81">
        <f t="shared" si="90"/>
        <v>14.375</v>
      </c>
      <c r="Q97" s="19" t="s">
        <v>23</v>
      </c>
      <c r="R97" s="15">
        <v>35</v>
      </c>
      <c r="S97" s="15">
        <v>0</v>
      </c>
      <c r="T97" s="15">
        <v>0.125</v>
      </c>
      <c r="U97" s="15">
        <f t="shared" si="57"/>
        <v>4.375</v>
      </c>
      <c r="V97" s="19">
        <f t="shared" si="79"/>
        <v>0</v>
      </c>
      <c r="W97" s="81">
        <f t="shared" si="68"/>
        <v>4.375</v>
      </c>
      <c r="Y97" s="19" t="s">
        <v>23</v>
      </c>
      <c r="Z97" s="15">
        <v>24</v>
      </c>
      <c r="AA97" s="15">
        <v>0</v>
      </c>
      <c r="AB97" s="15">
        <v>0.125</v>
      </c>
      <c r="AC97" s="15">
        <f t="shared" si="58"/>
        <v>3</v>
      </c>
      <c r="AD97" s="19">
        <f t="shared" si="80"/>
        <v>0</v>
      </c>
      <c r="AE97" s="81">
        <f t="shared" si="69"/>
        <v>3</v>
      </c>
      <c r="AG97" s="19" t="s">
        <v>23</v>
      </c>
      <c r="AH97" s="15">
        <v>18</v>
      </c>
      <c r="AI97" s="15"/>
      <c r="AJ97" s="15">
        <v>0.125</v>
      </c>
      <c r="AK97" s="15">
        <f t="shared" si="59"/>
        <v>2.25</v>
      </c>
      <c r="AL97" s="19">
        <f t="shared" si="81"/>
        <v>0</v>
      </c>
      <c r="AM97" s="81">
        <f t="shared" si="70"/>
        <v>2.25</v>
      </c>
      <c r="AN97" s="1"/>
      <c r="AO97" s="19" t="s">
        <v>23</v>
      </c>
      <c r="AP97" s="15">
        <v>8</v>
      </c>
      <c r="AQ97" s="15">
        <v>0</v>
      </c>
      <c r="AR97" s="15">
        <v>0.125</v>
      </c>
      <c r="AS97" s="15">
        <f t="shared" si="60"/>
        <v>1</v>
      </c>
      <c r="AT97" s="19">
        <f t="shared" si="82"/>
        <v>0</v>
      </c>
      <c r="AU97" s="15">
        <f t="shared" si="71"/>
        <v>1</v>
      </c>
      <c r="AW97" s="19" t="s">
        <v>23</v>
      </c>
      <c r="AX97" s="15">
        <v>0</v>
      </c>
      <c r="AY97" s="15">
        <v>0</v>
      </c>
      <c r="AZ97" s="15">
        <v>0.125</v>
      </c>
      <c r="BA97" s="15">
        <f t="shared" si="61"/>
        <v>0</v>
      </c>
      <c r="BB97" s="19">
        <f t="shared" si="83"/>
        <v>0</v>
      </c>
      <c r="BC97" s="15">
        <f t="shared" si="72"/>
        <v>0</v>
      </c>
      <c r="BE97" s="19" t="s">
        <v>23</v>
      </c>
      <c r="BF97" s="15">
        <v>0</v>
      </c>
      <c r="BG97" s="15">
        <v>0</v>
      </c>
      <c r="BH97" s="15">
        <v>0.125</v>
      </c>
      <c r="BI97" s="15">
        <f t="shared" si="62"/>
        <v>0</v>
      </c>
      <c r="BJ97" s="19">
        <f t="shared" si="84"/>
        <v>0</v>
      </c>
      <c r="BK97" s="15">
        <f t="shared" si="73"/>
        <v>0</v>
      </c>
      <c r="BM97" s="19" t="s">
        <v>23</v>
      </c>
      <c r="BN97" s="15">
        <v>0</v>
      </c>
      <c r="BO97" s="15">
        <v>92</v>
      </c>
      <c r="BP97" s="15">
        <v>0.125</v>
      </c>
      <c r="BQ97" s="15">
        <f t="shared" si="63"/>
        <v>0</v>
      </c>
      <c r="BR97" s="19">
        <f t="shared" si="85"/>
        <v>11.5</v>
      </c>
      <c r="BS97" s="15">
        <f t="shared" si="74"/>
        <v>11.5</v>
      </c>
      <c r="BU97" s="19" t="s">
        <v>23</v>
      </c>
      <c r="BV97" s="15">
        <v>0</v>
      </c>
      <c r="BW97" s="15">
        <v>0</v>
      </c>
      <c r="BX97" s="15">
        <v>0.125</v>
      </c>
      <c r="BY97" s="15">
        <f t="shared" si="64"/>
        <v>0</v>
      </c>
      <c r="BZ97" s="19">
        <f t="shared" si="86"/>
        <v>0</v>
      </c>
      <c r="CA97" s="81">
        <f t="shared" si="75"/>
        <v>0</v>
      </c>
      <c r="CC97" s="19" t="s">
        <v>23</v>
      </c>
      <c r="CD97" s="15">
        <v>0</v>
      </c>
      <c r="CE97" s="15">
        <v>0</v>
      </c>
      <c r="CF97" s="15">
        <v>0.125</v>
      </c>
      <c r="CG97" s="15">
        <f t="shared" si="65"/>
        <v>0</v>
      </c>
      <c r="CH97" s="19">
        <f t="shared" si="87"/>
        <v>0</v>
      </c>
      <c r="CI97" s="84">
        <f t="shared" si="76"/>
        <v>0</v>
      </c>
      <c r="CK97" s="19" t="s">
        <v>23</v>
      </c>
      <c r="CL97" s="15">
        <v>0</v>
      </c>
      <c r="CM97" s="15">
        <v>176</v>
      </c>
      <c r="CN97" s="15">
        <v>0.125</v>
      </c>
      <c r="CO97" s="15">
        <f t="shared" si="66"/>
        <v>0</v>
      </c>
      <c r="CP97" s="19">
        <f t="shared" si="88"/>
        <v>22</v>
      </c>
      <c r="CQ97" s="15">
        <f t="shared" si="77"/>
        <v>22</v>
      </c>
    </row>
    <row r="98" spans="1:95">
      <c r="A98" s="19" t="s">
        <v>24</v>
      </c>
      <c r="B98" s="15">
        <v>8</v>
      </c>
      <c r="C98" s="15">
        <v>0</v>
      </c>
      <c r="D98" s="15">
        <v>0.2</v>
      </c>
      <c r="E98" s="84">
        <f t="shared" si="55"/>
        <v>1.6</v>
      </c>
      <c r="F98" s="87">
        <f t="shared" si="78"/>
        <v>0</v>
      </c>
      <c r="G98" s="81">
        <f t="shared" si="67"/>
        <v>1.6</v>
      </c>
      <c r="I98" s="19" t="s">
        <v>24</v>
      </c>
      <c r="J98" s="15">
        <v>13</v>
      </c>
      <c r="K98" s="15">
        <v>0</v>
      </c>
      <c r="L98" s="15">
        <v>0.2</v>
      </c>
      <c r="M98" s="15">
        <f t="shared" si="56"/>
        <v>2.6</v>
      </c>
      <c r="N98" s="82">
        <f t="shared" si="89"/>
        <v>0</v>
      </c>
      <c r="O98" s="81">
        <f t="shared" si="90"/>
        <v>2.6</v>
      </c>
      <c r="Q98" s="19" t="s">
        <v>24</v>
      </c>
      <c r="R98" s="15">
        <v>16</v>
      </c>
      <c r="S98" s="15">
        <v>55</v>
      </c>
      <c r="T98" s="15">
        <v>0.2</v>
      </c>
      <c r="U98" s="15">
        <f t="shared" si="57"/>
        <v>3.2</v>
      </c>
      <c r="V98" s="19">
        <f t="shared" si="79"/>
        <v>11</v>
      </c>
      <c r="W98" s="81">
        <f t="shared" si="68"/>
        <v>14.2</v>
      </c>
      <c r="Y98" s="19" t="s">
        <v>24</v>
      </c>
      <c r="Z98" s="15">
        <v>4</v>
      </c>
      <c r="AA98" s="15">
        <v>0</v>
      </c>
      <c r="AB98" s="15">
        <v>0.2</v>
      </c>
      <c r="AC98" s="15">
        <f t="shared" si="58"/>
        <v>0.8</v>
      </c>
      <c r="AD98" s="19">
        <f t="shared" si="80"/>
        <v>0</v>
      </c>
      <c r="AE98" s="81">
        <f t="shared" si="69"/>
        <v>0.8</v>
      </c>
      <c r="AG98" s="19" t="s">
        <v>24</v>
      </c>
      <c r="AH98" s="15">
        <v>5</v>
      </c>
      <c r="AI98" s="15"/>
      <c r="AJ98" s="15">
        <v>0.2</v>
      </c>
      <c r="AK98" s="15">
        <f t="shared" si="59"/>
        <v>1</v>
      </c>
      <c r="AL98" s="19">
        <f t="shared" si="81"/>
        <v>0</v>
      </c>
      <c r="AM98" s="81">
        <f t="shared" si="70"/>
        <v>1</v>
      </c>
      <c r="AN98">
        <f>47.52/132</f>
        <v>0.36000000000000004</v>
      </c>
      <c r="AO98" s="86" t="s">
        <v>83</v>
      </c>
      <c r="AP98" s="15">
        <v>2</v>
      </c>
      <c r="AQ98" s="15">
        <v>0</v>
      </c>
      <c r="AR98" s="15">
        <v>0.2</v>
      </c>
      <c r="AS98" s="15">
        <f t="shared" si="60"/>
        <v>0.4</v>
      </c>
      <c r="AT98" s="19">
        <f t="shared" si="82"/>
        <v>0</v>
      </c>
      <c r="AU98" s="15">
        <f t="shared" si="71"/>
        <v>0.4</v>
      </c>
      <c r="AV98" s="1"/>
      <c r="AW98" s="19" t="s">
        <v>24</v>
      </c>
      <c r="AX98" s="15">
        <v>0</v>
      </c>
      <c r="AY98" s="15">
        <f>36+96</f>
        <v>132</v>
      </c>
      <c r="AZ98" s="15">
        <v>0.2</v>
      </c>
      <c r="BA98" s="15">
        <f t="shared" si="61"/>
        <v>0</v>
      </c>
      <c r="BB98" s="19">
        <f t="shared" si="83"/>
        <v>26.400000000000002</v>
      </c>
      <c r="BC98" s="15">
        <f t="shared" si="72"/>
        <v>26.400000000000002</v>
      </c>
      <c r="BE98" s="19" t="s">
        <v>24</v>
      </c>
      <c r="BF98" s="15">
        <v>0</v>
      </c>
      <c r="BG98" s="15">
        <v>179</v>
      </c>
      <c r="BH98" s="15">
        <v>0.2</v>
      </c>
      <c r="BI98" s="15">
        <f t="shared" si="62"/>
        <v>0</v>
      </c>
      <c r="BJ98" s="19">
        <f t="shared" si="84"/>
        <v>35.800000000000004</v>
      </c>
      <c r="BK98" s="15">
        <f t="shared" si="73"/>
        <v>35.800000000000004</v>
      </c>
      <c r="BM98" s="19" t="s">
        <v>24</v>
      </c>
      <c r="BN98" s="15">
        <v>0</v>
      </c>
      <c r="BO98" s="15">
        <v>128</v>
      </c>
      <c r="BP98" s="15">
        <v>0.2</v>
      </c>
      <c r="BQ98" s="15">
        <f t="shared" si="63"/>
        <v>0</v>
      </c>
      <c r="BR98" s="19">
        <f t="shared" si="85"/>
        <v>25.6</v>
      </c>
      <c r="BS98" s="15">
        <f t="shared" si="74"/>
        <v>25.6</v>
      </c>
      <c r="BU98" s="19" t="s">
        <v>24</v>
      </c>
      <c r="BV98" s="15">
        <v>0</v>
      </c>
      <c r="BW98" s="15">
        <v>0</v>
      </c>
      <c r="BX98" s="15">
        <v>0.2</v>
      </c>
      <c r="BY98" s="15">
        <f t="shared" si="64"/>
        <v>0</v>
      </c>
      <c r="BZ98" s="19">
        <f t="shared" si="86"/>
        <v>0</v>
      </c>
      <c r="CA98" s="81">
        <f t="shared" si="75"/>
        <v>0</v>
      </c>
      <c r="CC98" s="19" t="s">
        <v>24</v>
      </c>
      <c r="CD98" s="15">
        <v>0</v>
      </c>
      <c r="CE98" s="15">
        <v>0</v>
      </c>
      <c r="CF98" s="15">
        <v>0.2</v>
      </c>
      <c r="CG98" s="15">
        <f t="shared" si="65"/>
        <v>0</v>
      </c>
      <c r="CH98" s="19">
        <f t="shared" si="87"/>
        <v>0</v>
      </c>
      <c r="CI98" s="84">
        <f t="shared" si="76"/>
        <v>0</v>
      </c>
      <c r="CK98" s="19" t="s">
        <v>24</v>
      </c>
      <c r="CL98" s="15">
        <v>0</v>
      </c>
      <c r="CM98" s="15">
        <v>100</v>
      </c>
      <c r="CN98" s="15">
        <v>0.2</v>
      </c>
      <c r="CO98" s="15">
        <f t="shared" si="66"/>
        <v>0</v>
      </c>
      <c r="CP98" s="19">
        <f t="shared" si="88"/>
        <v>20</v>
      </c>
      <c r="CQ98" s="15">
        <f t="shared" si="77"/>
        <v>20</v>
      </c>
    </row>
    <row r="99" spans="1:95">
      <c r="A99" s="19" t="s">
        <v>25</v>
      </c>
      <c r="B99" s="15">
        <v>0</v>
      </c>
      <c r="C99" s="15">
        <f>55+843</f>
        <v>898</v>
      </c>
      <c r="D99" s="81">
        <v>0.21827411167512689</v>
      </c>
      <c r="E99" s="84">
        <f t="shared" si="55"/>
        <v>0</v>
      </c>
      <c r="F99" s="87">
        <f t="shared" si="78"/>
        <v>196.01015228426394</v>
      </c>
      <c r="G99" s="81">
        <f t="shared" si="67"/>
        <v>196.01015228426394</v>
      </c>
      <c r="I99" s="19" t="s">
        <v>25</v>
      </c>
      <c r="J99" s="15">
        <v>0</v>
      </c>
      <c r="K99" s="15">
        <f>8+984</f>
        <v>992</v>
      </c>
      <c r="L99" s="81">
        <v>0.21827411167512689</v>
      </c>
      <c r="M99" s="84">
        <f t="shared" si="56"/>
        <v>0</v>
      </c>
      <c r="N99" s="82">
        <f t="shared" si="89"/>
        <v>216.52791878172587</v>
      </c>
      <c r="O99" s="81">
        <f t="shared" si="90"/>
        <v>216.52791878172587</v>
      </c>
      <c r="Q99" s="19" t="s">
        <v>25</v>
      </c>
      <c r="R99" s="15">
        <v>0</v>
      </c>
      <c r="S99" s="15">
        <f>816+15</f>
        <v>831</v>
      </c>
      <c r="T99" s="81">
        <v>0.21827411167512689</v>
      </c>
      <c r="U99" s="84">
        <f t="shared" si="57"/>
        <v>0</v>
      </c>
      <c r="V99" s="82">
        <f t="shared" si="79"/>
        <v>181.38578680203045</v>
      </c>
      <c r="W99" s="81">
        <f t="shared" si="68"/>
        <v>181.38578680203045</v>
      </c>
      <c r="Y99" s="19" t="s">
        <v>25</v>
      </c>
      <c r="Z99" s="15">
        <v>0</v>
      </c>
      <c r="AA99" s="15">
        <f>456+44</f>
        <v>500</v>
      </c>
      <c r="AB99" s="81">
        <v>0.22</v>
      </c>
      <c r="AC99" s="15">
        <f t="shared" si="58"/>
        <v>0</v>
      </c>
      <c r="AD99" s="162">
        <f t="shared" si="80"/>
        <v>110</v>
      </c>
      <c r="AE99" s="81">
        <f t="shared" si="69"/>
        <v>110</v>
      </c>
      <c r="AF99" s="1"/>
      <c r="AG99" s="19" t="s">
        <v>25</v>
      </c>
      <c r="AH99" s="15">
        <v>0</v>
      </c>
      <c r="AI99" s="15">
        <f>86+68</f>
        <v>154</v>
      </c>
      <c r="AJ99" s="15">
        <v>0.22</v>
      </c>
      <c r="AK99" s="15">
        <f t="shared" si="59"/>
        <v>0</v>
      </c>
      <c r="AL99" s="19">
        <f t="shared" si="81"/>
        <v>33.880000000000003</v>
      </c>
      <c r="AM99" s="81">
        <f t="shared" si="70"/>
        <v>33.880000000000003</v>
      </c>
      <c r="AN99" s="1"/>
      <c r="AO99" s="19" t="s">
        <v>25</v>
      </c>
      <c r="AP99" s="15">
        <v>0</v>
      </c>
      <c r="AQ99" s="15">
        <v>84</v>
      </c>
      <c r="AR99" s="15">
        <v>0.12</v>
      </c>
      <c r="AS99" s="15">
        <f t="shared" si="60"/>
        <v>0</v>
      </c>
      <c r="AT99" s="19">
        <f t="shared" si="82"/>
        <v>10.08</v>
      </c>
      <c r="AU99" s="15">
        <f t="shared" si="71"/>
        <v>10.08</v>
      </c>
      <c r="AV99" s="1"/>
      <c r="AW99" s="19" t="s">
        <v>25</v>
      </c>
      <c r="AX99" s="15">
        <v>0</v>
      </c>
      <c r="AY99" s="15">
        <v>0</v>
      </c>
      <c r="AZ99" s="15">
        <v>0.12</v>
      </c>
      <c r="BA99" s="15">
        <f t="shared" si="61"/>
        <v>0</v>
      </c>
      <c r="BB99" s="19">
        <f t="shared" si="83"/>
        <v>0</v>
      </c>
      <c r="BC99" s="15">
        <f t="shared" si="72"/>
        <v>0</v>
      </c>
      <c r="BE99" s="19" t="s">
        <v>25</v>
      </c>
      <c r="BF99" s="15">
        <v>0</v>
      </c>
      <c r="BG99" s="15">
        <v>0</v>
      </c>
      <c r="BH99" s="15">
        <v>0.12</v>
      </c>
      <c r="BI99" s="15">
        <f t="shared" si="62"/>
        <v>0</v>
      </c>
      <c r="BJ99" s="19">
        <f t="shared" si="84"/>
        <v>0</v>
      </c>
      <c r="BK99" s="15">
        <f t="shared" si="73"/>
        <v>0</v>
      </c>
      <c r="BM99" s="19" t="s">
        <v>25</v>
      </c>
      <c r="BN99" s="15">
        <v>0</v>
      </c>
      <c r="BO99" s="15">
        <f>101+36</f>
        <v>137</v>
      </c>
      <c r="BP99" s="15">
        <v>0.12</v>
      </c>
      <c r="BQ99" s="15">
        <f t="shared" si="63"/>
        <v>0</v>
      </c>
      <c r="BR99" s="19">
        <f t="shared" si="85"/>
        <v>16.439999999999998</v>
      </c>
      <c r="BS99" s="15">
        <f t="shared" si="74"/>
        <v>16.439999999999998</v>
      </c>
      <c r="BU99" s="19" t="s">
        <v>25</v>
      </c>
      <c r="BV99" s="15">
        <v>3</v>
      </c>
      <c r="BW99" s="15">
        <f>96+240</f>
        <v>336</v>
      </c>
      <c r="BX99" s="15">
        <v>0.12</v>
      </c>
      <c r="BY99" s="15">
        <f t="shared" si="64"/>
        <v>0.36</v>
      </c>
      <c r="BZ99" s="19">
        <f t="shared" si="86"/>
        <v>40.32</v>
      </c>
      <c r="CA99" s="81">
        <f t="shared" si="75"/>
        <v>40.68</v>
      </c>
      <c r="CC99" s="19" t="s">
        <v>25</v>
      </c>
      <c r="CD99" s="15">
        <v>0</v>
      </c>
      <c r="CE99" s="15">
        <v>144</v>
      </c>
      <c r="CF99" s="15">
        <v>0.12</v>
      </c>
      <c r="CG99" s="15">
        <f t="shared" si="65"/>
        <v>0</v>
      </c>
      <c r="CH99" s="19">
        <f t="shared" si="87"/>
        <v>17.28</v>
      </c>
      <c r="CI99" s="84">
        <f t="shared" si="76"/>
        <v>17.28</v>
      </c>
      <c r="CK99" s="19" t="s">
        <v>25</v>
      </c>
      <c r="CL99" s="15">
        <v>27</v>
      </c>
      <c r="CM99" s="15">
        <v>200</v>
      </c>
      <c r="CN99" s="15">
        <v>0.12</v>
      </c>
      <c r="CO99" s="15">
        <f t="shared" si="66"/>
        <v>3.2399999999999998</v>
      </c>
      <c r="CP99" s="19">
        <f t="shared" si="88"/>
        <v>24</v>
      </c>
      <c r="CQ99" s="15">
        <f t="shared" si="77"/>
        <v>27.24</v>
      </c>
    </row>
    <row r="100" spans="1:95">
      <c r="A100" s="19" t="s">
        <v>26</v>
      </c>
      <c r="B100" s="15">
        <v>0</v>
      </c>
      <c r="C100" s="15">
        <v>0</v>
      </c>
      <c r="D100" s="15">
        <v>0.2</v>
      </c>
      <c r="E100" s="84">
        <f t="shared" si="55"/>
        <v>0</v>
      </c>
      <c r="F100" s="82">
        <f t="shared" si="78"/>
        <v>0</v>
      </c>
      <c r="G100" s="81">
        <f t="shared" si="67"/>
        <v>0</v>
      </c>
      <c r="I100" s="19" t="s">
        <v>26</v>
      </c>
      <c r="J100" s="15">
        <v>0</v>
      </c>
      <c r="K100" s="15">
        <v>80</v>
      </c>
      <c r="L100" s="15">
        <v>0.2</v>
      </c>
      <c r="M100" s="15">
        <f t="shared" si="56"/>
        <v>0</v>
      </c>
      <c r="N100" s="82">
        <f t="shared" si="89"/>
        <v>16</v>
      </c>
      <c r="O100" s="81">
        <f t="shared" si="90"/>
        <v>16</v>
      </c>
      <c r="Q100" s="19" t="s">
        <v>26</v>
      </c>
      <c r="R100" s="15">
        <v>0</v>
      </c>
      <c r="S100" s="15">
        <v>140</v>
      </c>
      <c r="T100" s="15">
        <v>0.2</v>
      </c>
      <c r="U100" s="15">
        <f t="shared" si="57"/>
        <v>0</v>
      </c>
      <c r="V100" s="19">
        <f t="shared" si="79"/>
        <v>28</v>
      </c>
      <c r="W100" s="81">
        <f t="shared" si="68"/>
        <v>28</v>
      </c>
      <c r="Y100" s="19" t="s">
        <v>26</v>
      </c>
      <c r="Z100" s="15">
        <v>0</v>
      </c>
      <c r="AA100" s="15">
        <v>0</v>
      </c>
      <c r="AB100" s="15">
        <v>0.2</v>
      </c>
      <c r="AC100" s="15">
        <f t="shared" si="58"/>
        <v>0</v>
      </c>
      <c r="AD100" s="19">
        <f t="shared" si="80"/>
        <v>0</v>
      </c>
      <c r="AE100" s="81">
        <f t="shared" si="69"/>
        <v>0</v>
      </c>
      <c r="AG100" s="19" t="s">
        <v>26</v>
      </c>
      <c r="AH100" s="15">
        <v>0</v>
      </c>
      <c r="AI100" s="15">
        <v>28</v>
      </c>
      <c r="AJ100" s="15">
        <v>0.2</v>
      </c>
      <c r="AK100" s="15">
        <f t="shared" ref="AK100:AK105" si="91">AH100*AJ100</f>
        <v>0</v>
      </c>
      <c r="AL100" s="19">
        <f t="shared" si="81"/>
        <v>5.6000000000000005</v>
      </c>
      <c r="AM100" s="81">
        <f t="shared" si="70"/>
        <v>5.6000000000000005</v>
      </c>
      <c r="AO100" s="19" t="s">
        <v>26</v>
      </c>
      <c r="AP100" s="15">
        <v>0</v>
      </c>
      <c r="AQ100" s="15">
        <v>0</v>
      </c>
      <c r="AR100" s="15">
        <v>0.2</v>
      </c>
      <c r="AS100" s="15">
        <f t="shared" si="60"/>
        <v>0</v>
      </c>
      <c r="AT100" s="19">
        <f t="shared" si="82"/>
        <v>0</v>
      </c>
      <c r="AU100" s="15">
        <f t="shared" si="71"/>
        <v>0</v>
      </c>
      <c r="AW100" s="19" t="s">
        <v>26</v>
      </c>
      <c r="AX100" s="15">
        <v>0</v>
      </c>
      <c r="AY100" s="15">
        <v>0</v>
      </c>
      <c r="AZ100" s="15">
        <v>0.2</v>
      </c>
      <c r="BA100" s="15">
        <f t="shared" si="61"/>
        <v>0</v>
      </c>
      <c r="BB100" s="19">
        <f t="shared" si="83"/>
        <v>0</v>
      </c>
      <c r="BC100" s="15">
        <f t="shared" si="72"/>
        <v>0</v>
      </c>
      <c r="BE100" s="19" t="s">
        <v>26</v>
      </c>
      <c r="BF100" s="15">
        <v>0</v>
      </c>
      <c r="BG100" s="15">
        <v>168</v>
      </c>
      <c r="BH100" s="15">
        <v>0.2</v>
      </c>
      <c r="BI100" s="15">
        <f t="shared" si="62"/>
        <v>0</v>
      </c>
      <c r="BJ100" s="19">
        <f t="shared" si="84"/>
        <v>33.6</v>
      </c>
      <c r="BK100" s="15">
        <f t="shared" si="73"/>
        <v>33.6</v>
      </c>
      <c r="BM100" s="19" t="s">
        <v>26</v>
      </c>
      <c r="BN100" s="15">
        <v>0</v>
      </c>
      <c r="BO100" s="15">
        <v>7</v>
      </c>
      <c r="BP100" s="15">
        <v>0.2</v>
      </c>
      <c r="BQ100" s="15">
        <f t="shared" si="63"/>
        <v>0</v>
      </c>
      <c r="BR100" s="19">
        <f t="shared" si="85"/>
        <v>1.4000000000000001</v>
      </c>
      <c r="BS100" s="15">
        <f t="shared" si="74"/>
        <v>1.4000000000000001</v>
      </c>
      <c r="BU100" s="19" t="s">
        <v>26</v>
      </c>
      <c r="BV100" s="15">
        <v>0</v>
      </c>
      <c r="BW100" s="15">
        <v>72</v>
      </c>
      <c r="BX100" s="15">
        <v>0.2</v>
      </c>
      <c r="BY100" s="15">
        <f t="shared" si="64"/>
        <v>0</v>
      </c>
      <c r="BZ100" s="19">
        <f t="shared" si="86"/>
        <v>14.4</v>
      </c>
      <c r="CA100" s="81">
        <f t="shared" si="75"/>
        <v>14.4</v>
      </c>
      <c r="CC100" s="19" t="s">
        <v>26</v>
      </c>
      <c r="CD100" s="15">
        <v>0</v>
      </c>
      <c r="CE100" s="15">
        <v>50</v>
      </c>
      <c r="CF100" s="15">
        <v>0.2</v>
      </c>
      <c r="CG100" s="15">
        <f t="shared" si="65"/>
        <v>0</v>
      </c>
      <c r="CH100" s="19">
        <f t="shared" si="87"/>
        <v>10</v>
      </c>
      <c r="CI100" s="84">
        <f t="shared" si="76"/>
        <v>10</v>
      </c>
      <c r="CK100" s="19" t="s">
        <v>26</v>
      </c>
      <c r="CL100" s="15">
        <v>0</v>
      </c>
      <c r="CM100" s="15">
        <v>16</v>
      </c>
      <c r="CN100" s="15">
        <v>0.2</v>
      </c>
      <c r="CO100" s="15">
        <f t="shared" si="66"/>
        <v>0</v>
      </c>
      <c r="CP100" s="19">
        <f t="shared" si="88"/>
        <v>3.2</v>
      </c>
      <c r="CQ100" s="15">
        <f t="shared" si="77"/>
        <v>3.2</v>
      </c>
    </row>
    <row r="101" spans="1:95">
      <c r="A101" s="19" t="s">
        <v>27</v>
      </c>
      <c r="B101" s="15">
        <v>24</v>
      </c>
      <c r="C101" s="15">
        <v>435</v>
      </c>
      <c r="D101" s="15">
        <v>0.25</v>
      </c>
      <c r="E101" s="84">
        <f t="shared" si="55"/>
        <v>6</v>
      </c>
      <c r="F101" s="82">
        <f t="shared" si="78"/>
        <v>108.75</v>
      </c>
      <c r="G101" s="81">
        <f t="shared" si="67"/>
        <v>114.75</v>
      </c>
      <c r="I101" s="19" t="s">
        <v>27</v>
      </c>
      <c r="J101" s="15">
        <v>24</v>
      </c>
      <c r="K101" s="15">
        <v>449</v>
      </c>
      <c r="L101" s="15">
        <v>0.25</v>
      </c>
      <c r="M101" s="15">
        <f t="shared" si="56"/>
        <v>6</v>
      </c>
      <c r="N101" s="82">
        <f t="shared" si="89"/>
        <v>112.25</v>
      </c>
      <c r="O101" s="81">
        <f t="shared" si="90"/>
        <v>118.25</v>
      </c>
      <c r="Q101" s="19" t="s">
        <v>27</v>
      </c>
      <c r="R101" s="15">
        <v>24</v>
      </c>
      <c r="S101" s="15">
        <v>435</v>
      </c>
      <c r="T101" s="15">
        <v>0.25</v>
      </c>
      <c r="U101" s="15">
        <f t="shared" si="57"/>
        <v>6</v>
      </c>
      <c r="V101" s="19">
        <f t="shared" si="79"/>
        <v>108.75</v>
      </c>
      <c r="W101" s="81">
        <f t="shared" si="68"/>
        <v>114.75</v>
      </c>
      <c r="Y101" s="19" t="s">
        <v>27</v>
      </c>
      <c r="Z101" s="15">
        <v>25</v>
      </c>
      <c r="AA101" s="15">
        <v>526</v>
      </c>
      <c r="AB101" s="15">
        <v>0.25</v>
      </c>
      <c r="AC101" s="15">
        <f t="shared" si="58"/>
        <v>6.25</v>
      </c>
      <c r="AD101" s="83">
        <f t="shared" ref="AD101:AD106" si="92">AA101*AB101</f>
        <v>131.5</v>
      </c>
      <c r="AE101" s="81">
        <f t="shared" si="69"/>
        <v>137.75</v>
      </c>
      <c r="AG101" s="19" t="s">
        <v>27</v>
      </c>
      <c r="AH101" s="15">
        <v>24</v>
      </c>
      <c r="AI101" s="15">
        <v>654</v>
      </c>
      <c r="AJ101" s="15">
        <v>0.25</v>
      </c>
      <c r="AK101" s="15">
        <f t="shared" si="91"/>
        <v>6</v>
      </c>
      <c r="AL101" s="19">
        <f t="shared" ref="AL101:AL105" si="93">AI101*AJ101</f>
        <v>163.5</v>
      </c>
      <c r="AM101" s="81">
        <f t="shared" ref="AM101:AM105" si="94">AK101+AL101</f>
        <v>169.5</v>
      </c>
      <c r="AO101" s="19" t="s">
        <v>27</v>
      </c>
      <c r="AP101" s="15">
        <v>24</v>
      </c>
      <c r="AQ101" s="15">
        <v>700</v>
      </c>
      <c r="AR101" s="15">
        <v>0.25</v>
      </c>
      <c r="AS101" s="15">
        <f t="shared" si="60"/>
        <v>6</v>
      </c>
      <c r="AT101" s="19">
        <f t="shared" si="82"/>
        <v>175</v>
      </c>
      <c r="AU101" s="15">
        <f t="shared" si="71"/>
        <v>181</v>
      </c>
      <c r="AW101" s="19" t="s">
        <v>27</v>
      </c>
      <c r="AX101" s="15">
        <v>24</v>
      </c>
      <c r="AY101" s="15">
        <v>725</v>
      </c>
      <c r="AZ101" s="15">
        <v>0.25</v>
      </c>
      <c r="BA101" s="15">
        <f t="shared" si="61"/>
        <v>6</v>
      </c>
      <c r="BB101" s="19">
        <f t="shared" si="83"/>
        <v>181.25</v>
      </c>
      <c r="BC101" s="15">
        <f t="shared" si="72"/>
        <v>187.25</v>
      </c>
      <c r="BE101" s="19" t="s">
        <v>27</v>
      </c>
      <c r="BF101" s="15">
        <v>6</v>
      </c>
      <c r="BG101" s="15">
        <v>678</v>
      </c>
      <c r="BH101" s="15">
        <v>0.25</v>
      </c>
      <c r="BI101" s="15">
        <f t="shared" si="62"/>
        <v>1.5</v>
      </c>
      <c r="BJ101" s="19">
        <f t="shared" si="84"/>
        <v>169.5</v>
      </c>
      <c r="BK101" s="15">
        <f t="shared" si="73"/>
        <v>171</v>
      </c>
      <c r="BM101" s="19" t="s">
        <v>27</v>
      </c>
      <c r="BN101" s="15">
        <v>4</v>
      </c>
      <c r="BO101" s="15">
        <v>647</v>
      </c>
      <c r="BP101" s="15">
        <v>0.25</v>
      </c>
      <c r="BQ101" s="15">
        <f t="shared" si="63"/>
        <v>1</v>
      </c>
      <c r="BR101" s="19">
        <f t="shared" si="85"/>
        <v>161.75</v>
      </c>
      <c r="BS101" s="15">
        <f t="shared" si="74"/>
        <v>162.75</v>
      </c>
      <c r="BU101" s="19" t="s">
        <v>27</v>
      </c>
      <c r="BV101" s="15">
        <v>3</v>
      </c>
      <c r="BW101" s="15">
        <v>774</v>
      </c>
      <c r="BX101" s="15">
        <v>0.25</v>
      </c>
      <c r="BY101" s="15">
        <f t="shared" si="64"/>
        <v>0.75</v>
      </c>
      <c r="BZ101" s="19">
        <f t="shared" si="86"/>
        <v>193.5</v>
      </c>
      <c r="CA101" s="81">
        <f t="shared" si="75"/>
        <v>194.25</v>
      </c>
      <c r="CC101" s="19" t="s">
        <v>27</v>
      </c>
      <c r="CD101" s="15">
        <v>5</v>
      </c>
      <c r="CE101" s="15">
        <v>497</v>
      </c>
      <c r="CF101" s="15">
        <v>0.25</v>
      </c>
      <c r="CG101" s="15">
        <f t="shared" si="65"/>
        <v>1.25</v>
      </c>
      <c r="CH101" s="19">
        <f t="shared" si="87"/>
        <v>124.25</v>
      </c>
      <c r="CI101" s="84">
        <f t="shared" si="76"/>
        <v>125.5</v>
      </c>
      <c r="CK101" s="19" t="s">
        <v>27</v>
      </c>
      <c r="CL101" s="15">
        <v>12</v>
      </c>
      <c r="CM101" s="15">
        <v>547</v>
      </c>
      <c r="CN101" s="15">
        <v>0.25</v>
      </c>
      <c r="CO101" s="15">
        <f t="shared" si="66"/>
        <v>3</v>
      </c>
      <c r="CP101" s="19">
        <f t="shared" si="88"/>
        <v>136.75</v>
      </c>
      <c r="CQ101" s="15">
        <f t="shared" si="77"/>
        <v>139.75</v>
      </c>
    </row>
    <row r="102" spans="1:95" s="1" customFormat="1">
      <c r="A102" s="9" t="s">
        <v>109</v>
      </c>
      <c r="B102" s="15">
        <v>0</v>
      </c>
      <c r="C102" s="15">
        <v>0</v>
      </c>
      <c r="D102" s="15">
        <v>1</v>
      </c>
      <c r="E102" s="84">
        <f t="shared" ref="E102:E103" si="95">B102*D102</f>
        <v>0</v>
      </c>
      <c r="F102" s="82">
        <f t="shared" si="78"/>
        <v>0</v>
      </c>
      <c r="G102" s="81">
        <f t="shared" si="67"/>
        <v>0</v>
      </c>
      <c r="I102" s="19" t="s">
        <v>107</v>
      </c>
      <c r="J102" s="15">
        <v>0</v>
      </c>
      <c r="K102" s="15">
        <v>0</v>
      </c>
      <c r="L102" s="15">
        <v>1</v>
      </c>
      <c r="M102" s="15">
        <f t="shared" si="56"/>
        <v>0</v>
      </c>
      <c r="N102" s="82">
        <f t="shared" si="89"/>
        <v>0</v>
      </c>
      <c r="O102" s="81">
        <f t="shared" si="90"/>
        <v>0</v>
      </c>
      <c r="Q102" s="19" t="s">
        <v>109</v>
      </c>
      <c r="R102" s="15">
        <v>0</v>
      </c>
      <c r="S102" s="15">
        <v>0</v>
      </c>
      <c r="T102" s="15">
        <v>1</v>
      </c>
      <c r="U102" s="15">
        <f t="shared" ref="U102:U103" si="96">R102*T102</f>
        <v>0</v>
      </c>
      <c r="V102" s="19">
        <f t="shared" ref="V102:V103" si="97">S102*T102</f>
        <v>0</v>
      </c>
      <c r="W102" s="81">
        <f t="shared" si="68"/>
        <v>0</v>
      </c>
      <c r="Y102" s="19" t="s">
        <v>109</v>
      </c>
      <c r="Z102" s="15">
        <v>0</v>
      </c>
      <c r="AA102" s="15">
        <v>0</v>
      </c>
      <c r="AB102" s="15">
        <v>1</v>
      </c>
      <c r="AC102" s="15">
        <f t="shared" si="58"/>
        <v>0</v>
      </c>
      <c r="AD102" s="83">
        <f t="shared" si="92"/>
        <v>0</v>
      </c>
      <c r="AE102" s="81">
        <f t="shared" si="69"/>
        <v>0</v>
      </c>
      <c r="AG102" s="19" t="s">
        <v>109</v>
      </c>
      <c r="AH102" s="15"/>
      <c r="AI102" s="15"/>
      <c r="AJ102" s="15">
        <v>1</v>
      </c>
      <c r="AK102" s="15">
        <f t="shared" si="91"/>
        <v>0</v>
      </c>
      <c r="AL102" s="19">
        <f t="shared" si="93"/>
        <v>0</v>
      </c>
      <c r="AM102" s="81">
        <f t="shared" si="94"/>
        <v>0</v>
      </c>
      <c r="AO102" s="19"/>
      <c r="AP102" s="15"/>
      <c r="AQ102" s="15"/>
      <c r="AR102" s="15"/>
      <c r="AS102" s="15"/>
      <c r="AT102" s="19"/>
      <c r="AU102" s="15"/>
      <c r="AW102" s="19"/>
      <c r="AX102" s="15"/>
      <c r="AY102" s="15"/>
      <c r="AZ102" s="15"/>
      <c r="BA102" s="15"/>
      <c r="BB102" s="19"/>
      <c r="BC102" s="15"/>
      <c r="BE102" s="19"/>
      <c r="BF102" s="15"/>
      <c r="BG102" s="15"/>
      <c r="BH102" s="15"/>
      <c r="BI102" s="15"/>
      <c r="BJ102" s="19"/>
      <c r="BK102" s="15"/>
      <c r="BM102" s="19"/>
      <c r="BN102" s="15"/>
      <c r="BO102" s="15"/>
      <c r="BP102" s="15"/>
      <c r="BQ102" s="15"/>
      <c r="BR102" s="19"/>
      <c r="BS102" s="15"/>
      <c r="BU102" s="19"/>
      <c r="BV102" s="15"/>
      <c r="BW102" s="15"/>
      <c r="BX102" s="15"/>
      <c r="BY102" s="15"/>
      <c r="BZ102" s="19"/>
      <c r="CA102" s="81"/>
      <c r="CC102" s="9" t="s">
        <v>109</v>
      </c>
      <c r="CD102" s="15">
        <v>0</v>
      </c>
      <c r="CE102" s="15"/>
      <c r="CF102" s="15"/>
      <c r="CG102" s="15"/>
      <c r="CH102" s="19"/>
      <c r="CI102" s="84"/>
      <c r="CK102" s="19"/>
      <c r="CL102" s="15"/>
      <c r="CM102" s="15"/>
      <c r="CN102" s="15"/>
      <c r="CO102" s="15"/>
      <c r="CP102" s="19"/>
      <c r="CQ102" s="15"/>
    </row>
    <row r="103" spans="1:95" s="1" customFormat="1">
      <c r="A103" s="6" t="s">
        <v>108</v>
      </c>
      <c r="B103" s="15">
        <v>0</v>
      </c>
      <c r="C103" s="15">
        <v>68</v>
      </c>
      <c r="D103" s="15">
        <v>0.4</v>
      </c>
      <c r="E103" s="84">
        <f t="shared" si="95"/>
        <v>0</v>
      </c>
      <c r="F103" s="82">
        <f t="shared" si="78"/>
        <v>27.200000000000003</v>
      </c>
      <c r="G103" s="81">
        <f t="shared" si="67"/>
        <v>27.200000000000003</v>
      </c>
      <c r="I103" s="19" t="s">
        <v>108</v>
      </c>
      <c r="J103" s="15">
        <v>0</v>
      </c>
      <c r="K103" s="15">
        <v>122</v>
      </c>
      <c r="L103" s="15">
        <v>0.4</v>
      </c>
      <c r="M103" s="15">
        <f t="shared" si="56"/>
        <v>0</v>
      </c>
      <c r="N103" s="82">
        <f t="shared" si="89"/>
        <v>48.800000000000004</v>
      </c>
      <c r="O103" s="81">
        <f t="shared" si="90"/>
        <v>48.800000000000004</v>
      </c>
      <c r="Q103" s="19" t="s">
        <v>108</v>
      </c>
      <c r="R103" s="15">
        <v>0</v>
      </c>
      <c r="S103" s="15">
        <v>27</v>
      </c>
      <c r="T103" s="15">
        <v>0.4</v>
      </c>
      <c r="U103" s="15">
        <f t="shared" si="96"/>
        <v>0</v>
      </c>
      <c r="V103" s="19">
        <f t="shared" si="97"/>
        <v>10.8</v>
      </c>
      <c r="W103" s="81">
        <f t="shared" si="68"/>
        <v>10.8</v>
      </c>
      <c r="Y103" s="19" t="s">
        <v>108</v>
      </c>
      <c r="Z103" s="15">
        <v>0</v>
      </c>
      <c r="AA103" s="15">
        <v>189</v>
      </c>
      <c r="AB103" s="15">
        <v>0.4</v>
      </c>
      <c r="AC103" s="15">
        <f t="shared" si="58"/>
        <v>0</v>
      </c>
      <c r="AD103" s="83">
        <f t="shared" si="92"/>
        <v>75.600000000000009</v>
      </c>
      <c r="AE103" s="81">
        <f t="shared" si="69"/>
        <v>75.600000000000009</v>
      </c>
      <c r="AG103" s="19" t="s">
        <v>108</v>
      </c>
      <c r="AH103" s="15">
        <v>0</v>
      </c>
      <c r="AI103" s="15"/>
      <c r="AJ103" s="15">
        <v>0.4</v>
      </c>
      <c r="AK103" s="15">
        <f t="shared" si="91"/>
        <v>0</v>
      </c>
      <c r="AL103" s="19">
        <f t="shared" si="93"/>
        <v>0</v>
      </c>
      <c r="AM103" s="81">
        <f t="shared" si="94"/>
        <v>0</v>
      </c>
      <c r="AO103" s="19"/>
      <c r="AP103" s="15"/>
      <c r="AQ103" s="15"/>
      <c r="AR103" s="15"/>
      <c r="AS103" s="15"/>
      <c r="AT103" s="19"/>
      <c r="AU103" s="15"/>
      <c r="AW103" s="19"/>
      <c r="AX103" s="15"/>
      <c r="AY103" s="15"/>
      <c r="AZ103" s="15"/>
      <c r="BA103" s="15"/>
      <c r="BB103" s="19"/>
      <c r="BC103" s="15"/>
      <c r="BE103" s="19"/>
      <c r="BF103" s="15"/>
      <c r="BG103" s="15"/>
      <c r="BH103" s="15"/>
      <c r="BI103" s="15"/>
      <c r="BJ103" s="19"/>
      <c r="BK103" s="15"/>
      <c r="BM103" s="19"/>
      <c r="BN103" s="15"/>
      <c r="BO103" s="15"/>
      <c r="BP103" s="15"/>
      <c r="BQ103" s="15"/>
      <c r="BR103" s="19"/>
      <c r="BS103" s="15"/>
      <c r="BU103" s="19"/>
      <c r="BV103" s="15"/>
      <c r="BW103" s="15"/>
      <c r="BX103" s="15"/>
      <c r="BY103" s="15"/>
      <c r="BZ103" s="19"/>
      <c r="CA103" s="81"/>
      <c r="CC103" s="6" t="s">
        <v>108</v>
      </c>
      <c r="CD103" s="15">
        <v>0</v>
      </c>
      <c r="CE103" s="15"/>
      <c r="CF103" s="15"/>
      <c r="CG103" s="15"/>
      <c r="CH103" s="19"/>
      <c r="CI103" s="84"/>
      <c r="CK103" s="19"/>
      <c r="CL103" s="15"/>
      <c r="CM103" s="15"/>
      <c r="CN103" s="15"/>
      <c r="CO103" s="15"/>
      <c r="CP103" s="19"/>
      <c r="CQ103" s="15"/>
    </row>
    <row r="104" spans="1:95">
      <c r="A104" s="19" t="s">
        <v>28</v>
      </c>
      <c r="B104" s="15">
        <v>0</v>
      </c>
      <c r="C104" s="15">
        <v>140</v>
      </c>
      <c r="D104" s="15">
        <v>0.39</v>
      </c>
      <c r="E104" s="84">
        <f t="shared" si="55"/>
        <v>0</v>
      </c>
      <c r="F104" s="82">
        <f t="shared" si="78"/>
        <v>54.6</v>
      </c>
      <c r="G104" s="81">
        <f t="shared" si="67"/>
        <v>54.6</v>
      </c>
      <c r="I104" s="19" t="s">
        <v>28</v>
      </c>
      <c r="J104" s="15">
        <v>0</v>
      </c>
      <c r="K104" s="15">
        <v>0</v>
      </c>
      <c r="L104" s="15">
        <v>0.39</v>
      </c>
      <c r="M104" s="15">
        <f t="shared" si="56"/>
        <v>0</v>
      </c>
      <c r="N104" s="82">
        <f t="shared" si="89"/>
        <v>0</v>
      </c>
      <c r="O104" s="81">
        <f t="shared" si="90"/>
        <v>0</v>
      </c>
      <c r="Q104" s="19" t="s">
        <v>28</v>
      </c>
      <c r="R104" s="15">
        <v>0</v>
      </c>
      <c r="S104" s="15">
        <v>160</v>
      </c>
      <c r="T104" s="15">
        <v>0.39</v>
      </c>
      <c r="U104" s="15">
        <f t="shared" si="57"/>
        <v>0</v>
      </c>
      <c r="V104" s="19">
        <f t="shared" si="79"/>
        <v>62.400000000000006</v>
      </c>
      <c r="W104" s="81">
        <f t="shared" si="68"/>
        <v>62.400000000000006</v>
      </c>
      <c r="Y104" s="19" t="s">
        <v>28</v>
      </c>
      <c r="Z104" s="15">
        <v>0</v>
      </c>
      <c r="AA104" s="15">
        <v>112</v>
      </c>
      <c r="AB104" s="15">
        <v>0.39</v>
      </c>
      <c r="AC104" s="15">
        <f t="shared" si="58"/>
        <v>0</v>
      </c>
      <c r="AD104" s="83">
        <f t="shared" si="92"/>
        <v>43.68</v>
      </c>
      <c r="AE104" s="81">
        <f t="shared" si="69"/>
        <v>43.68</v>
      </c>
      <c r="AG104" s="19" t="s">
        <v>28</v>
      </c>
      <c r="AH104" s="15">
        <v>0</v>
      </c>
      <c r="AI104" s="15">
        <v>107</v>
      </c>
      <c r="AJ104" s="15">
        <v>0.39</v>
      </c>
      <c r="AK104" s="15">
        <f t="shared" si="91"/>
        <v>0</v>
      </c>
      <c r="AL104" s="19">
        <f t="shared" si="93"/>
        <v>41.730000000000004</v>
      </c>
      <c r="AM104" s="81">
        <f t="shared" si="94"/>
        <v>41.730000000000004</v>
      </c>
      <c r="AO104" s="19" t="s">
        <v>28</v>
      </c>
      <c r="AP104" s="15">
        <v>0</v>
      </c>
      <c r="AQ104" s="15">
        <v>137</v>
      </c>
      <c r="AR104" s="15">
        <v>0.39</v>
      </c>
      <c r="AS104" s="15">
        <f t="shared" si="60"/>
        <v>0</v>
      </c>
      <c r="AT104" s="19">
        <f t="shared" si="82"/>
        <v>53.43</v>
      </c>
      <c r="AU104" s="15">
        <f t="shared" si="71"/>
        <v>53.43</v>
      </c>
      <c r="AW104" s="19" t="s">
        <v>28</v>
      </c>
      <c r="AX104" s="15">
        <v>0</v>
      </c>
      <c r="AY104" s="15">
        <v>119</v>
      </c>
      <c r="AZ104" s="15">
        <v>0.39</v>
      </c>
      <c r="BA104" s="15">
        <f t="shared" si="61"/>
        <v>0</v>
      </c>
      <c r="BB104" s="19">
        <f t="shared" si="83"/>
        <v>46.410000000000004</v>
      </c>
      <c r="BC104" s="15">
        <f t="shared" si="72"/>
        <v>46.410000000000004</v>
      </c>
      <c r="BE104" s="19" t="s">
        <v>28</v>
      </c>
      <c r="BF104" s="15">
        <v>0</v>
      </c>
      <c r="BG104" s="15">
        <v>0</v>
      </c>
      <c r="BH104" s="15">
        <v>0.39</v>
      </c>
      <c r="BI104" s="15">
        <f t="shared" si="62"/>
        <v>0</v>
      </c>
      <c r="BJ104" s="19">
        <f t="shared" si="84"/>
        <v>0</v>
      </c>
      <c r="BK104" s="15">
        <f t="shared" si="73"/>
        <v>0</v>
      </c>
      <c r="BM104" s="19" t="s">
        <v>28</v>
      </c>
      <c r="BN104" s="15">
        <v>0</v>
      </c>
      <c r="BO104" s="15">
        <v>24</v>
      </c>
      <c r="BP104" s="15">
        <v>0.39</v>
      </c>
      <c r="BQ104" s="15">
        <f t="shared" si="63"/>
        <v>0</v>
      </c>
      <c r="BR104" s="19">
        <f t="shared" si="85"/>
        <v>9.36</v>
      </c>
      <c r="BS104" s="15">
        <f t="shared" si="74"/>
        <v>9.36</v>
      </c>
      <c r="BU104" s="19" t="s">
        <v>28</v>
      </c>
      <c r="BV104" s="15">
        <v>0</v>
      </c>
      <c r="BW104" s="15">
        <f>41+32</f>
        <v>73</v>
      </c>
      <c r="BX104" s="15">
        <v>0.39</v>
      </c>
      <c r="BY104" s="15">
        <f t="shared" si="64"/>
        <v>0</v>
      </c>
      <c r="BZ104" s="19">
        <f t="shared" si="86"/>
        <v>28.470000000000002</v>
      </c>
      <c r="CA104" s="81">
        <f t="shared" si="75"/>
        <v>28.470000000000002</v>
      </c>
      <c r="CC104" s="19" t="s">
        <v>28</v>
      </c>
      <c r="CD104" s="15">
        <v>0</v>
      </c>
      <c r="CE104" s="15">
        <f>54+30</f>
        <v>84</v>
      </c>
      <c r="CF104" s="15">
        <v>0.39</v>
      </c>
      <c r="CG104" s="15">
        <f t="shared" si="65"/>
        <v>0</v>
      </c>
      <c r="CH104" s="19">
        <f t="shared" si="87"/>
        <v>32.76</v>
      </c>
      <c r="CI104" s="84">
        <f t="shared" si="76"/>
        <v>32.76</v>
      </c>
      <c r="CK104" s="19" t="s">
        <v>28</v>
      </c>
      <c r="CL104" s="15">
        <v>0</v>
      </c>
      <c r="CM104" s="15">
        <f>48+30</f>
        <v>78</v>
      </c>
      <c r="CN104" s="15">
        <v>0.39</v>
      </c>
      <c r="CO104" s="15">
        <f t="shared" si="66"/>
        <v>0</v>
      </c>
      <c r="CP104" s="19">
        <f t="shared" si="88"/>
        <v>30.42</v>
      </c>
      <c r="CQ104" s="15">
        <f t="shared" si="77"/>
        <v>30.42</v>
      </c>
    </row>
    <row r="105" spans="1:95" s="1" customFormat="1">
      <c r="A105" s="86" t="s">
        <v>103</v>
      </c>
      <c r="B105" s="15">
        <v>0</v>
      </c>
      <c r="C105" s="15">
        <v>0</v>
      </c>
      <c r="D105" s="15">
        <v>0.42499999999999999</v>
      </c>
      <c r="E105" s="84">
        <f t="shared" si="55"/>
        <v>0</v>
      </c>
      <c r="F105" s="82">
        <f t="shared" si="78"/>
        <v>0</v>
      </c>
      <c r="G105" s="81">
        <f t="shared" si="67"/>
        <v>0</v>
      </c>
      <c r="I105" s="86" t="s">
        <v>103</v>
      </c>
      <c r="J105" s="15">
        <v>0</v>
      </c>
      <c r="K105" s="15">
        <v>0</v>
      </c>
      <c r="L105" s="15">
        <v>0.42499999999999999</v>
      </c>
      <c r="M105" s="15">
        <f t="shared" si="56"/>
        <v>0</v>
      </c>
      <c r="N105" s="82">
        <f t="shared" si="89"/>
        <v>0</v>
      </c>
      <c r="O105" s="81">
        <f t="shared" si="90"/>
        <v>0</v>
      </c>
      <c r="Q105" s="86" t="s">
        <v>103</v>
      </c>
      <c r="R105" s="15">
        <v>0</v>
      </c>
      <c r="S105" s="15">
        <v>121</v>
      </c>
      <c r="T105" s="15">
        <v>0.42499999999999999</v>
      </c>
      <c r="U105" s="15">
        <f t="shared" si="57"/>
        <v>0</v>
      </c>
      <c r="V105" s="19">
        <f t="shared" si="79"/>
        <v>51.424999999999997</v>
      </c>
      <c r="W105" s="81">
        <f t="shared" si="68"/>
        <v>51.424999999999997</v>
      </c>
      <c r="Y105" s="86" t="s">
        <v>103</v>
      </c>
      <c r="Z105" s="15">
        <v>0</v>
      </c>
      <c r="AA105" s="15">
        <v>50</v>
      </c>
      <c r="AB105" s="15">
        <v>0.42499999999999999</v>
      </c>
      <c r="AC105" s="15">
        <f t="shared" si="58"/>
        <v>0</v>
      </c>
      <c r="AD105" s="83">
        <f t="shared" si="92"/>
        <v>21.25</v>
      </c>
      <c r="AE105" s="81">
        <f t="shared" si="69"/>
        <v>21.25</v>
      </c>
      <c r="AG105" s="19" t="s">
        <v>103</v>
      </c>
      <c r="AH105" s="15">
        <v>0</v>
      </c>
      <c r="AI105" s="15">
        <v>60</v>
      </c>
      <c r="AJ105" s="15">
        <v>0.42499999999999999</v>
      </c>
      <c r="AK105" s="15">
        <f t="shared" si="91"/>
        <v>0</v>
      </c>
      <c r="AL105" s="19">
        <f t="shared" si="93"/>
        <v>25.5</v>
      </c>
      <c r="AM105" s="81">
        <f t="shared" si="94"/>
        <v>25.5</v>
      </c>
      <c r="AO105" s="19" t="s">
        <v>103</v>
      </c>
      <c r="AP105" s="15">
        <v>0</v>
      </c>
      <c r="AQ105" s="15">
        <v>48</v>
      </c>
      <c r="AR105" s="15">
        <v>0.42499999999999999</v>
      </c>
      <c r="AS105" s="15"/>
      <c r="AT105" s="19"/>
      <c r="AU105" s="15"/>
      <c r="AW105" s="19" t="s">
        <v>103</v>
      </c>
      <c r="AX105" s="15">
        <v>0</v>
      </c>
      <c r="AY105" s="15">
        <v>0</v>
      </c>
      <c r="AZ105" s="15">
        <v>0.42499999999999999</v>
      </c>
      <c r="BA105" s="15"/>
      <c r="BB105" s="19"/>
      <c r="BC105" s="15"/>
      <c r="BE105" s="19" t="s">
        <v>103</v>
      </c>
      <c r="BF105" s="15">
        <v>0</v>
      </c>
      <c r="BG105" s="15">
        <v>0</v>
      </c>
      <c r="BH105" s="15">
        <v>0.42499999999999999</v>
      </c>
      <c r="BI105" s="15"/>
      <c r="BJ105" s="19"/>
      <c r="BK105" s="15"/>
      <c r="BM105" s="19" t="s">
        <v>103</v>
      </c>
      <c r="BN105" s="15">
        <v>0</v>
      </c>
      <c r="BO105" s="15">
        <v>0</v>
      </c>
      <c r="BP105" s="15">
        <v>0.42499999999999999</v>
      </c>
      <c r="BQ105" s="15"/>
      <c r="BR105" s="19"/>
      <c r="BS105" s="15"/>
      <c r="BU105" s="19" t="s">
        <v>103</v>
      </c>
      <c r="BV105" s="15">
        <v>0</v>
      </c>
      <c r="BW105" s="15">
        <v>0</v>
      </c>
      <c r="BX105" s="15">
        <v>0.42499999999999999</v>
      </c>
      <c r="BY105" s="15">
        <f t="shared" si="64"/>
        <v>0</v>
      </c>
      <c r="BZ105" s="19"/>
      <c r="CA105" s="81"/>
      <c r="CC105" s="19" t="s">
        <v>103</v>
      </c>
      <c r="CD105" s="15">
        <v>0</v>
      </c>
      <c r="CE105" s="15">
        <v>144</v>
      </c>
      <c r="CF105" s="15">
        <v>0.42499999999999999</v>
      </c>
      <c r="CG105" s="15">
        <f t="shared" si="65"/>
        <v>0</v>
      </c>
      <c r="CH105" s="19"/>
      <c r="CI105" s="84"/>
      <c r="CK105" s="19" t="s">
        <v>103</v>
      </c>
      <c r="CL105" s="15">
        <v>0</v>
      </c>
      <c r="CM105" s="15">
        <v>66</v>
      </c>
      <c r="CN105" s="15">
        <v>0.42499999999999999</v>
      </c>
      <c r="CO105" s="15">
        <f t="shared" si="66"/>
        <v>0</v>
      </c>
      <c r="CP105" s="19"/>
      <c r="CQ105" s="15"/>
    </row>
    <row r="106" spans="1:95">
      <c r="A106" s="86" t="s">
        <v>110</v>
      </c>
      <c r="B106" s="15">
        <v>0</v>
      </c>
      <c r="C106" s="15">
        <v>0</v>
      </c>
      <c r="D106" s="15">
        <v>0.2</v>
      </c>
      <c r="E106" s="84">
        <f t="shared" si="55"/>
        <v>0</v>
      </c>
      <c r="F106" s="82">
        <f t="shared" si="78"/>
        <v>0</v>
      </c>
      <c r="G106" s="81">
        <f t="shared" si="67"/>
        <v>0</v>
      </c>
      <c r="I106" s="86" t="s">
        <v>79</v>
      </c>
      <c r="J106" s="15">
        <v>0</v>
      </c>
      <c r="K106" s="15">
        <v>0</v>
      </c>
      <c r="L106" s="15">
        <v>0.2</v>
      </c>
      <c r="M106" s="15">
        <f t="shared" si="56"/>
        <v>0</v>
      </c>
      <c r="N106" s="82">
        <f t="shared" si="89"/>
        <v>0</v>
      </c>
      <c r="O106" s="81">
        <f t="shared" si="90"/>
        <v>0</v>
      </c>
      <c r="Q106" s="86" t="s">
        <v>79</v>
      </c>
      <c r="R106" s="15">
        <v>0</v>
      </c>
      <c r="S106" s="15">
        <v>243</v>
      </c>
      <c r="T106" s="15">
        <v>0.2</v>
      </c>
      <c r="U106" s="15">
        <f t="shared" si="57"/>
        <v>0</v>
      </c>
      <c r="V106" s="19">
        <f t="shared" si="79"/>
        <v>48.6</v>
      </c>
      <c r="W106" s="81">
        <f t="shared" si="68"/>
        <v>48.6</v>
      </c>
      <c r="Y106" s="86" t="s">
        <v>79</v>
      </c>
      <c r="Z106" s="15">
        <v>0</v>
      </c>
      <c r="AA106" s="15">
        <v>47</v>
      </c>
      <c r="AB106" s="15">
        <v>0.2</v>
      </c>
      <c r="AC106" s="15">
        <f t="shared" si="58"/>
        <v>0</v>
      </c>
      <c r="AD106" s="83">
        <f t="shared" si="92"/>
        <v>9.4</v>
      </c>
      <c r="AE106" s="81">
        <f t="shared" si="69"/>
        <v>9.4</v>
      </c>
      <c r="AF106" s="1"/>
      <c r="AG106" s="86" t="s">
        <v>79</v>
      </c>
      <c r="AH106" s="15">
        <v>0</v>
      </c>
      <c r="AI106" s="15">
        <v>162</v>
      </c>
      <c r="AJ106" s="15">
        <v>0.2</v>
      </c>
      <c r="AK106" s="15">
        <f>AH106*AJ106</f>
        <v>0</v>
      </c>
      <c r="AL106" s="19">
        <f>AI106*AJ106</f>
        <v>32.4</v>
      </c>
      <c r="AM106" s="81">
        <f>AK106+AL106</f>
        <v>32.4</v>
      </c>
      <c r="AN106" s="1"/>
      <c r="AO106" s="86" t="s">
        <v>79</v>
      </c>
      <c r="AP106" s="15">
        <v>0</v>
      </c>
      <c r="AQ106" s="15">
        <v>81</v>
      </c>
      <c r="AR106" s="15">
        <v>0.2</v>
      </c>
      <c r="AS106" s="15">
        <f t="shared" si="60"/>
        <v>0</v>
      </c>
      <c r="AT106" s="82">
        <f>AQ106*AR106</f>
        <v>16.2</v>
      </c>
      <c r="AU106" s="81">
        <f t="shared" si="71"/>
        <v>16.2</v>
      </c>
      <c r="AV106" s="1"/>
      <c r="AW106" s="86" t="s">
        <v>79</v>
      </c>
      <c r="AX106" s="15">
        <v>0</v>
      </c>
      <c r="AY106" s="15">
        <v>243</v>
      </c>
      <c r="AZ106" s="15">
        <v>0.2</v>
      </c>
      <c r="BA106" s="15">
        <f t="shared" si="61"/>
        <v>0</v>
      </c>
      <c r="BB106" s="19">
        <f t="shared" si="83"/>
        <v>48.6</v>
      </c>
      <c r="BC106" s="81">
        <f t="shared" si="72"/>
        <v>48.6</v>
      </c>
      <c r="BD106" s="1"/>
      <c r="BE106" s="86" t="s">
        <v>79</v>
      </c>
      <c r="BF106" s="15">
        <v>0</v>
      </c>
      <c r="BG106" s="15">
        <v>162</v>
      </c>
      <c r="BH106" s="15">
        <v>0.2</v>
      </c>
      <c r="BI106" s="15">
        <f t="shared" si="62"/>
        <v>0</v>
      </c>
      <c r="BJ106" s="19">
        <f t="shared" si="84"/>
        <v>32.4</v>
      </c>
      <c r="BK106" s="81">
        <f t="shared" si="73"/>
        <v>32.4</v>
      </c>
      <c r="BM106" s="86" t="s">
        <v>79</v>
      </c>
      <c r="BN106" s="15">
        <v>0</v>
      </c>
      <c r="BO106" s="15">
        <v>84</v>
      </c>
      <c r="BP106" s="15">
        <v>0.2</v>
      </c>
      <c r="BQ106" s="15">
        <f t="shared" si="63"/>
        <v>0</v>
      </c>
      <c r="BR106" s="19">
        <f t="shared" si="85"/>
        <v>16.8</v>
      </c>
      <c r="BS106" s="81">
        <f t="shared" si="74"/>
        <v>16.8</v>
      </c>
      <c r="BU106" s="86" t="s">
        <v>79</v>
      </c>
      <c r="BV106" s="15">
        <v>0</v>
      </c>
      <c r="BW106" s="15">
        <v>0</v>
      </c>
      <c r="BX106" s="15">
        <v>0.2</v>
      </c>
      <c r="BY106" s="15">
        <f t="shared" si="64"/>
        <v>0</v>
      </c>
      <c r="BZ106" s="19">
        <f t="shared" si="86"/>
        <v>0</v>
      </c>
      <c r="CA106" s="81">
        <f t="shared" si="75"/>
        <v>0</v>
      </c>
      <c r="CC106" s="86" t="s">
        <v>79</v>
      </c>
      <c r="CD106" s="15">
        <v>0</v>
      </c>
      <c r="CE106" s="15">
        <v>0</v>
      </c>
      <c r="CF106" s="15">
        <v>0.2</v>
      </c>
      <c r="CG106" s="15">
        <f t="shared" si="65"/>
        <v>0</v>
      </c>
      <c r="CH106" s="19">
        <f t="shared" si="87"/>
        <v>0</v>
      </c>
      <c r="CI106" s="84">
        <f t="shared" si="76"/>
        <v>0</v>
      </c>
      <c r="CK106" s="86" t="s">
        <v>79</v>
      </c>
      <c r="CL106" s="15">
        <v>0</v>
      </c>
      <c r="CM106" s="15">
        <v>0</v>
      </c>
      <c r="CN106" s="15">
        <v>0.2</v>
      </c>
      <c r="CO106" s="15">
        <f t="shared" si="66"/>
        <v>0</v>
      </c>
      <c r="CP106" s="19">
        <f t="shared" si="88"/>
        <v>0</v>
      </c>
      <c r="CQ106" s="81">
        <f t="shared" si="77"/>
        <v>0</v>
      </c>
    </row>
    <row r="107" spans="1:95">
      <c r="A107" s="1"/>
      <c r="B107" s="1"/>
      <c r="D107" s="1"/>
      <c r="E107" s="1"/>
      <c r="F107" s="1"/>
      <c r="G107" s="85">
        <f>SUM(G80:G106)</f>
        <v>2429.5601522842635</v>
      </c>
      <c r="H107" s="1"/>
      <c r="I107" s="1"/>
      <c r="J107" s="1"/>
      <c r="K107" s="1"/>
      <c r="L107" s="1"/>
      <c r="M107" s="1"/>
      <c r="N107" s="1"/>
      <c r="O107" s="85">
        <f>SUM(O80:O106)</f>
        <v>1972.1529187817259</v>
      </c>
      <c r="P107" s="1"/>
      <c r="Q107" s="1"/>
      <c r="R107" s="1"/>
      <c r="S107" s="1"/>
      <c r="T107" s="1"/>
      <c r="U107" s="120"/>
      <c r="V107" s="119"/>
      <c r="W107" s="85">
        <f>SUM(W80:W106)</f>
        <v>2090.6557868020304</v>
      </c>
      <c r="AE107" s="85">
        <f>SUM(AE80:AE106)</f>
        <v>1685.12</v>
      </c>
      <c r="AF107" s="1"/>
      <c r="AM107" s="72">
        <f>SUM(AM80:AM106)</f>
        <v>1331.92</v>
      </c>
      <c r="AU107" s="72">
        <f>SUM(AU80:AU106)</f>
        <v>1323.4700000000003</v>
      </c>
      <c r="BC107" s="72">
        <f>SUM(BC80:BC106)</f>
        <v>2025.66</v>
      </c>
      <c r="BK107" s="72">
        <f>SUM(BK80:BK106)</f>
        <v>1686.9999999999998</v>
      </c>
      <c r="BS107" s="72">
        <f>SUM(BS80:BS106)</f>
        <v>1421.7599999999998</v>
      </c>
      <c r="CA107" s="72">
        <f>SUM(CA80:CA106)</f>
        <v>1270.28</v>
      </c>
      <c r="CI107" s="154">
        <f>SUM(CI80:CI106)</f>
        <v>1528.5800000000004</v>
      </c>
      <c r="CQ107" s="72">
        <f>SUM(CQ80:CQ106)</f>
        <v>2182.71</v>
      </c>
    </row>
    <row r="108" spans="1:95">
      <c r="A108" s="1"/>
      <c r="B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CF108" s="125"/>
      <c r="CG108" s="125"/>
    </row>
    <row r="109" spans="1:95">
      <c r="C109"/>
      <c r="H109" s="1"/>
      <c r="I109" s="1"/>
      <c r="J109" s="1"/>
      <c r="K109" s="1"/>
      <c r="L109" s="125"/>
      <c r="N109" s="160"/>
      <c r="P109" s="159"/>
      <c r="T109" s="125"/>
    </row>
    <row r="110" spans="1:95">
      <c r="G110" s="1"/>
      <c r="H110" s="1"/>
      <c r="I110" s="1"/>
      <c r="J110" s="1"/>
      <c r="K110" s="1"/>
      <c r="L110" s="1"/>
      <c r="R110" s="1"/>
      <c r="Y110" s="1"/>
      <c r="BA110" s="89"/>
    </row>
    <row r="111" spans="1:95">
      <c r="G111" s="1"/>
      <c r="H111" s="1"/>
      <c r="I111" s="1"/>
      <c r="J111" s="1"/>
      <c r="K111" s="1"/>
      <c r="L111" s="1"/>
      <c r="BX111" s="89"/>
      <c r="BZ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</row>
    <row r="114" spans="7:87">
      <c r="G114" s="1"/>
      <c r="H114" s="1"/>
      <c r="I114" s="1"/>
      <c r="J114" s="1"/>
      <c r="K114" s="1"/>
      <c r="L114" s="1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  <c r="CI116" s="105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  <row r="131" spans="7:12">
      <c r="G131" s="1"/>
      <c r="H131" s="1"/>
      <c r="I131" s="1"/>
      <c r="J131" s="1"/>
      <c r="K131" s="1"/>
      <c r="L131" s="1"/>
    </row>
    <row r="132" spans="7:12">
      <c r="G132" s="1"/>
      <c r="H132" s="1"/>
      <c r="I132" s="1"/>
      <c r="J132" s="1"/>
      <c r="K132" s="1"/>
      <c r="L132" s="1"/>
    </row>
    <row r="133" spans="7:12">
      <c r="G133" s="1"/>
      <c r="H133" s="1"/>
      <c r="I133" s="1"/>
      <c r="J133" s="1"/>
      <c r="K133" s="1"/>
      <c r="L133" s="1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topLeftCell="C1" zoomScale="75" zoomScaleNormal="75" workbookViewId="0">
      <selection activeCell="T11" sqref="T11"/>
    </sheetView>
  </sheetViews>
  <sheetFormatPr defaultRowHeight="15"/>
  <cols>
    <col min="1" max="1" width="1.5703125" style="1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s="1" customFormat="1" ht="6.75" customHeight="1"/>
    <row r="2" spans="2:21">
      <c r="B2" s="39"/>
      <c r="C2" s="40"/>
      <c r="D2" s="41"/>
      <c r="E2" s="54" t="s">
        <v>37</v>
      </c>
      <c r="F2" s="55" t="s">
        <v>37</v>
      </c>
      <c r="G2" s="55" t="s">
        <v>37</v>
      </c>
      <c r="H2" s="55" t="s">
        <v>37</v>
      </c>
      <c r="I2" s="55" t="s">
        <v>37</v>
      </c>
      <c r="J2" s="55" t="s">
        <v>37</v>
      </c>
      <c r="K2" s="55" t="s">
        <v>37</v>
      </c>
      <c r="L2" s="55" t="s">
        <v>37</v>
      </c>
      <c r="M2" s="55" t="s">
        <v>37</v>
      </c>
      <c r="N2" s="55" t="s">
        <v>37</v>
      </c>
      <c r="O2" s="55" t="s">
        <v>37</v>
      </c>
      <c r="P2" s="56" t="s">
        <v>37</v>
      </c>
      <c r="Q2" s="1"/>
      <c r="R2" s="90"/>
      <c r="S2" s="91">
        <v>44926</v>
      </c>
      <c r="T2" s="92"/>
      <c r="U2" s="93"/>
    </row>
    <row r="3" spans="2:21">
      <c r="B3" s="42"/>
      <c r="C3" s="43" t="s">
        <v>61</v>
      </c>
      <c r="D3" s="44"/>
      <c r="E3" s="57" t="s">
        <v>30</v>
      </c>
      <c r="F3" s="58" t="s">
        <v>31</v>
      </c>
      <c r="G3" s="58" t="s">
        <v>32</v>
      </c>
      <c r="H3" s="58" t="s">
        <v>33</v>
      </c>
      <c r="I3" s="58" t="s">
        <v>38</v>
      </c>
      <c r="J3" s="58" t="s">
        <v>52</v>
      </c>
      <c r="K3" s="58" t="s">
        <v>54</v>
      </c>
      <c r="L3" s="58" t="s">
        <v>55</v>
      </c>
      <c r="M3" s="58" t="s">
        <v>56</v>
      </c>
      <c r="N3" s="58" t="s">
        <v>57</v>
      </c>
      <c r="O3" s="58" t="s">
        <v>58</v>
      </c>
      <c r="P3" s="59" t="s">
        <v>59</v>
      </c>
      <c r="Q3" s="1"/>
      <c r="R3" s="99" t="s">
        <v>104</v>
      </c>
      <c r="S3" s="100">
        <v>2068.9900000000002</v>
      </c>
      <c r="T3" s="100"/>
      <c r="U3" s="101"/>
    </row>
    <row r="4" spans="2:21">
      <c r="B4" s="45"/>
      <c r="C4" s="46"/>
      <c r="D4" s="47"/>
      <c r="E4" s="60" t="s">
        <v>0</v>
      </c>
      <c r="F4" s="61" t="s">
        <v>0</v>
      </c>
      <c r="G4" s="61" t="s">
        <v>0</v>
      </c>
      <c r="H4" s="61" t="s">
        <v>0</v>
      </c>
      <c r="I4" s="61" t="s">
        <v>0</v>
      </c>
      <c r="J4" s="61" t="s">
        <v>0</v>
      </c>
      <c r="K4" s="61" t="s">
        <v>0</v>
      </c>
      <c r="L4" s="61" t="s">
        <v>0</v>
      </c>
      <c r="M4" s="61" t="s">
        <v>0</v>
      </c>
      <c r="N4" s="61" t="s">
        <v>0</v>
      </c>
      <c r="O4" s="61" t="s">
        <v>0</v>
      </c>
      <c r="P4" s="62" t="s">
        <v>0</v>
      </c>
      <c r="Q4" s="1"/>
      <c r="R4" s="94" t="s">
        <v>85</v>
      </c>
      <c r="S4" s="100">
        <v>26928.73</v>
      </c>
      <c r="T4" s="100"/>
      <c r="U4" s="101"/>
    </row>
    <row r="5" spans="2:21">
      <c r="B5" s="48" t="s">
        <v>6</v>
      </c>
      <c r="C5" s="33"/>
      <c r="D5" s="34"/>
      <c r="E5" s="30">
        <v>181.39999999999998</v>
      </c>
      <c r="F5" s="30">
        <v>96.12</v>
      </c>
      <c r="G5" s="30">
        <v>130.74</v>
      </c>
      <c r="H5" s="30">
        <v>133.99999999999997</v>
      </c>
      <c r="I5" s="30">
        <v>198.1</v>
      </c>
      <c r="J5" s="30">
        <v>221.90000000000003</v>
      </c>
      <c r="K5" s="30">
        <v>127.4</v>
      </c>
      <c r="L5" s="30">
        <v>173.6</v>
      </c>
      <c r="M5" s="30">
        <v>180</v>
      </c>
      <c r="N5" s="30">
        <v>235.2</v>
      </c>
      <c r="O5" s="30">
        <v>90.999999999999986</v>
      </c>
      <c r="P5" s="30">
        <v>77.38</v>
      </c>
      <c r="Q5" s="1"/>
      <c r="R5" s="95" t="s">
        <v>86</v>
      </c>
      <c r="S5" s="100">
        <v>13594.356000000002</v>
      </c>
      <c r="T5" s="100"/>
      <c r="U5" s="101"/>
    </row>
    <row r="6" spans="2:21" ht="15.75">
      <c r="B6" s="49" t="s">
        <v>48</v>
      </c>
      <c r="C6" s="35"/>
      <c r="D6" s="36"/>
      <c r="E6" s="31">
        <v>485.44000000000005</v>
      </c>
      <c r="F6" s="31">
        <v>464</v>
      </c>
      <c r="G6" s="31">
        <v>687</v>
      </c>
      <c r="H6" s="31">
        <v>601</v>
      </c>
      <c r="I6" s="31">
        <v>609.95000000000005</v>
      </c>
      <c r="J6" s="31">
        <v>654</v>
      </c>
      <c r="K6" s="31">
        <v>339</v>
      </c>
      <c r="L6" s="31">
        <v>260.7</v>
      </c>
      <c r="M6" s="31">
        <v>338.44</v>
      </c>
      <c r="N6" s="31">
        <v>384.13</v>
      </c>
      <c r="O6" s="31">
        <v>325.52999999999997</v>
      </c>
      <c r="P6" s="31">
        <v>467.32999999999993</v>
      </c>
      <c r="Q6" s="8"/>
      <c r="R6" s="95" t="s">
        <v>87</v>
      </c>
      <c r="S6" s="100">
        <v>5153.4400000000005</v>
      </c>
      <c r="T6" s="100"/>
      <c r="U6" s="101"/>
    </row>
    <row r="7" spans="2:21" ht="15.75">
      <c r="B7" s="49" t="s">
        <v>8</v>
      </c>
      <c r="C7" s="35"/>
      <c r="D7" s="36"/>
      <c r="E7" s="31">
        <v>356.29999999999995</v>
      </c>
      <c r="F7" s="31">
        <v>390.85</v>
      </c>
      <c r="G7" s="31">
        <v>320.49</v>
      </c>
      <c r="H7" s="31">
        <v>333.24</v>
      </c>
      <c r="I7" s="31">
        <v>315</v>
      </c>
      <c r="J7" s="31">
        <v>404.5</v>
      </c>
      <c r="K7" s="31">
        <v>531</v>
      </c>
      <c r="L7" s="31">
        <v>215.53999999999996</v>
      </c>
      <c r="M7" s="31">
        <v>234</v>
      </c>
      <c r="N7" s="31">
        <v>278</v>
      </c>
      <c r="O7" s="31">
        <v>241.5</v>
      </c>
      <c r="P7" s="31">
        <v>565.12</v>
      </c>
      <c r="Q7" s="7"/>
      <c r="R7" s="95" t="s">
        <v>88</v>
      </c>
      <c r="S7" s="100">
        <v>47745.516000000003</v>
      </c>
      <c r="T7" s="100"/>
      <c r="U7" s="101"/>
    </row>
    <row r="8" spans="2:21" ht="15.75">
      <c r="B8" s="49" t="s">
        <v>9</v>
      </c>
      <c r="C8" s="35"/>
      <c r="D8" s="36"/>
      <c r="E8" s="31">
        <v>241.28</v>
      </c>
      <c r="F8" s="31">
        <v>0</v>
      </c>
      <c r="G8" s="31">
        <v>0</v>
      </c>
      <c r="H8" s="31">
        <v>157.74</v>
      </c>
      <c r="I8" s="31">
        <v>140.39999999999998</v>
      </c>
      <c r="J8" s="31">
        <v>45.44</v>
      </c>
      <c r="K8" s="31">
        <v>41.010000000000005</v>
      </c>
      <c r="L8" s="31">
        <v>0</v>
      </c>
      <c r="M8" s="31">
        <v>73.83</v>
      </c>
      <c r="N8" s="31">
        <v>134.32</v>
      </c>
      <c r="O8" s="31">
        <v>5</v>
      </c>
      <c r="P8" s="31">
        <v>0</v>
      </c>
      <c r="Q8" s="7"/>
      <c r="R8" s="95"/>
      <c r="S8" s="100"/>
      <c r="T8" s="100"/>
      <c r="U8" s="101"/>
    </row>
    <row r="9" spans="2:21" ht="15.75">
      <c r="B9" s="49" t="s">
        <v>111</v>
      </c>
      <c r="C9" s="35"/>
      <c r="D9" s="36"/>
      <c r="E9" s="31">
        <v>11</v>
      </c>
      <c r="F9" s="31">
        <v>48</v>
      </c>
      <c r="G9" s="31">
        <v>0</v>
      </c>
      <c r="H9" s="31">
        <v>0</v>
      </c>
      <c r="I9" s="31">
        <v>0</v>
      </c>
      <c r="J9" s="31">
        <v>9</v>
      </c>
      <c r="K9" s="31">
        <v>0</v>
      </c>
      <c r="L9" s="31">
        <v>52</v>
      </c>
      <c r="M9" s="31">
        <v>15</v>
      </c>
      <c r="N9" s="31">
        <v>0</v>
      </c>
      <c r="O9" s="31">
        <v>0</v>
      </c>
      <c r="P9" s="31">
        <v>32</v>
      </c>
      <c r="Q9" s="7"/>
      <c r="R9" s="95" t="s">
        <v>89</v>
      </c>
      <c r="S9" s="100">
        <v>45481.966000000008</v>
      </c>
      <c r="T9" s="100"/>
      <c r="U9" s="101"/>
    </row>
    <row r="10" spans="2:21" ht="15.75">
      <c r="B10" s="49" t="s">
        <v>11</v>
      </c>
      <c r="C10" s="35"/>
      <c r="D10" s="36"/>
      <c r="E10" s="31">
        <v>203</v>
      </c>
      <c r="F10" s="31">
        <v>312</v>
      </c>
      <c r="G10" s="31">
        <v>130</v>
      </c>
      <c r="H10" s="31">
        <v>352</v>
      </c>
      <c r="I10" s="31">
        <v>223</v>
      </c>
      <c r="J10" s="31">
        <v>207</v>
      </c>
      <c r="K10" s="31">
        <v>174</v>
      </c>
      <c r="L10" s="31">
        <v>199</v>
      </c>
      <c r="M10" s="31">
        <v>252</v>
      </c>
      <c r="N10" s="31">
        <v>233</v>
      </c>
      <c r="O10" s="31">
        <v>178</v>
      </c>
      <c r="P10" s="31">
        <v>140.20999999999998</v>
      </c>
      <c r="Q10" s="7"/>
      <c r="R10" s="95"/>
      <c r="S10" s="100"/>
      <c r="T10" s="100" t="s">
        <v>114</v>
      </c>
      <c r="U10" s="101" t="s">
        <v>90</v>
      </c>
    </row>
    <row r="11" spans="2:21" ht="15.75">
      <c r="B11" s="49" t="s">
        <v>12</v>
      </c>
      <c r="C11" s="35"/>
      <c r="D11" s="36"/>
      <c r="E11" s="31">
        <v>81</v>
      </c>
      <c r="F11" s="31">
        <v>9</v>
      </c>
      <c r="G11" s="31">
        <v>84</v>
      </c>
      <c r="H11" s="31">
        <v>12</v>
      </c>
      <c r="I11" s="31">
        <v>207</v>
      </c>
      <c r="J11" s="31">
        <v>160</v>
      </c>
      <c r="K11" s="31">
        <v>133</v>
      </c>
      <c r="L11" s="31">
        <v>203</v>
      </c>
      <c r="M11" s="31">
        <v>128</v>
      </c>
      <c r="N11" s="31">
        <v>222</v>
      </c>
      <c r="O11" s="31">
        <v>75</v>
      </c>
      <c r="P11" s="31">
        <v>4.4799999999999898</v>
      </c>
      <c r="Q11" s="8"/>
      <c r="R11" s="96" t="s">
        <v>113</v>
      </c>
      <c r="S11" s="102">
        <v>2263.5499999999956</v>
      </c>
      <c r="T11" s="161">
        <v>2182.71</v>
      </c>
      <c r="U11" s="103">
        <v>-80.839999999995598</v>
      </c>
    </row>
    <row r="12" spans="2:21" ht="15.75">
      <c r="B12" s="49" t="s">
        <v>13</v>
      </c>
      <c r="C12" s="35"/>
      <c r="D12" s="36"/>
      <c r="E12" s="31">
        <v>18.099999999999994</v>
      </c>
      <c r="F12" s="31">
        <v>147.95000000000002</v>
      </c>
      <c r="G12" s="31">
        <v>6.8000000000000114</v>
      </c>
      <c r="H12" s="31">
        <v>113.19999999999999</v>
      </c>
      <c r="I12" s="31">
        <v>48.8</v>
      </c>
      <c r="J12" s="31">
        <v>84.800000000000011</v>
      </c>
      <c r="K12" s="31">
        <v>150</v>
      </c>
      <c r="L12" s="31">
        <v>106</v>
      </c>
      <c r="M12" s="31">
        <v>166.4</v>
      </c>
      <c r="N12" s="31">
        <v>200.00000000000003</v>
      </c>
      <c r="O12" s="31">
        <v>9.1999999999999886</v>
      </c>
      <c r="P12" s="31">
        <v>40.399999999999977</v>
      </c>
      <c r="Q12" s="7"/>
      <c r="R12" s="1"/>
      <c r="S12" s="1"/>
      <c r="T12" s="1"/>
      <c r="U12" s="1"/>
    </row>
    <row r="13" spans="2:21" ht="15.75">
      <c r="B13" s="49" t="s">
        <v>14</v>
      </c>
      <c r="C13" s="35"/>
      <c r="D13" s="36"/>
      <c r="E13" s="31">
        <v>204.02000000000004</v>
      </c>
      <c r="F13" s="31">
        <v>241.10000000000002</v>
      </c>
      <c r="G13" s="31">
        <v>197.47000000000003</v>
      </c>
      <c r="H13" s="31">
        <v>247.66000000000003</v>
      </c>
      <c r="I13" s="31">
        <v>195.86</v>
      </c>
      <c r="J13" s="31">
        <v>222.18</v>
      </c>
      <c r="K13" s="31">
        <v>176.64</v>
      </c>
      <c r="L13" s="31">
        <v>197.97999999999996</v>
      </c>
      <c r="M13" s="31">
        <v>221.72000000000003</v>
      </c>
      <c r="N13" s="31">
        <v>243.3</v>
      </c>
      <c r="O13" s="31">
        <v>39.660000000000025</v>
      </c>
      <c r="P13" s="31">
        <v>663.35000000000014</v>
      </c>
      <c r="Q13" s="7"/>
      <c r="R13" s="1"/>
      <c r="S13" s="1"/>
      <c r="T13" s="1"/>
      <c r="U13" s="1"/>
    </row>
    <row r="14" spans="2:21" ht="15.75">
      <c r="B14" s="49" t="s">
        <v>15</v>
      </c>
      <c r="C14" s="35"/>
      <c r="D14" s="36"/>
      <c r="E14" s="31">
        <v>127.95999999999998</v>
      </c>
      <c r="F14" s="31">
        <v>448.3599999999999</v>
      </c>
      <c r="G14" s="31">
        <v>215.43</v>
      </c>
      <c r="H14" s="31">
        <v>167.13000000000002</v>
      </c>
      <c r="I14" s="31">
        <v>105.60000000000001</v>
      </c>
      <c r="J14" s="31">
        <v>164.79999999999998</v>
      </c>
      <c r="K14" s="31">
        <v>314.7999999999999</v>
      </c>
      <c r="L14" s="31">
        <v>284.79999999999995</v>
      </c>
      <c r="M14" s="31">
        <v>386.79999999999995</v>
      </c>
      <c r="N14" s="31">
        <v>207.60000000000002</v>
      </c>
      <c r="O14" s="31">
        <v>6.8000000000000043</v>
      </c>
      <c r="P14" s="31">
        <v>15.800000000000011</v>
      </c>
      <c r="Q14" s="7"/>
      <c r="R14" s="1"/>
      <c r="S14" s="1"/>
      <c r="T14" s="1"/>
      <c r="U14" s="1"/>
    </row>
    <row r="15" spans="2:21" ht="15.75">
      <c r="B15" s="49" t="s">
        <v>49</v>
      </c>
      <c r="C15" s="35"/>
      <c r="D15" s="36"/>
      <c r="E15" s="31">
        <v>58.190000000000005</v>
      </c>
      <c r="F15" s="31">
        <v>55.3</v>
      </c>
      <c r="G15" s="31">
        <v>134.66</v>
      </c>
      <c r="H15" s="31">
        <v>85.08</v>
      </c>
      <c r="I15" s="31">
        <v>37.510000000000005</v>
      </c>
      <c r="J15" s="31">
        <v>0</v>
      </c>
      <c r="K15" s="31">
        <v>0</v>
      </c>
      <c r="L15" s="31">
        <v>8.66</v>
      </c>
      <c r="M15" s="31">
        <v>116.87999999999998</v>
      </c>
      <c r="N15" s="31">
        <v>150.01</v>
      </c>
      <c r="O15" s="31">
        <v>174.25</v>
      </c>
      <c r="P15" s="31">
        <v>407.70499999999998</v>
      </c>
      <c r="Q15" s="7"/>
      <c r="R15" s="1"/>
      <c r="S15" s="1"/>
      <c r="T15" s="1"/>
      <c r="U15" s="1"/>
    </row>
    <row r="16" spans="2:21" ht="15.75">
      <c r="B16" s="49" t="s">
        <v>17</v>
      </c>
      <c r="C16" s="35"/>
      <c r="D16" s="36"/>
      <c r="E16" s="31">
        <v>127.11999999999998</v>
      </c>
      <c r="F16" s="31">
        <v>109.92000000000002</v>
      </c>
      <c r="G16" s="31">
        <v>-25.28</v>
      </c>
      <c r="H16" s="31">
        <v>98.960000000000008</v>
      </c>
      <c r="I16" s="31">
        <v>101.19999999999999</v>
      </c>
      <c r="J16" s="31">
        <v>0.48000000000000398</v>
      </c>
      <c r="K16" s="31">
        <v>56</v>
      </c>
      <c r="L16" s="31">
        <v>0</v>
      </c>
      <c r="M16" s="31">
        <v>0</v>
      </c>
      <c r="N16" s="31">
        <v>8.9600000000000009</v>
      </c>
      <c r="O16" s="31">
        <v>0.96000000000000008</v>
      </c>
      <c r="P16" s="31">
        <v>73.07999999999997</v>
      </c>
      <c r="Q16" s="7"/>
      <c r="R16" s="1"/>
      <c r="S16" s="1"/>
      <c r="T16" s="1"/>
      <c r="U16" s="1"/>
    </row>
    <row r="17" spans="2:21" ht="15.75">
      <c r="B17" s="49" t="s">
        <v>18</v>
      </c>
      <c r="C17" s="35"/>
      <c r="D17" s="36"/>
      <c r="E17" s="31">
        <v>-150.43999999999997</v>
      </c>
      <c r="F17" s="31">
        <v>-6.3600000000000421</v>
      </c>
      <c r="G17" s="31">
        <v>-30.479999999999961</v>
      </c>
      <c r="H17" s="31">
        <v>21.359999999999957</v>
      </c>
      <c r="I17" s="31">
        <v>55.56</v>
      </c>
      <c r="J17" s="31">
        <v>174.48000000000002</v>
      </c>
      <c r="K17" s="31">
        <v>94.92</v>
      </c>
      <c r="L17" s="31">
        <v>0.24000000000000021</v>
      </c>
      <c r="M17" s="31">
        <v>1.7999999999999998</v>
      </c>
      <c r="N17" s="31">
        <v>0.12000000000000099</v>
      </c>
      <c r="O17" s="31">
        <v>13.439999999999998</v>
      </c>
      <c r="P17" s="31">
        <v>0.60000000000000009</v>
      </c>
      <c r="Q17" s="7"/>
      <c r="R17" s="1"/>
      <c r="S17" s="1"/>
      <c r="T17" s="1"/>
      <c r="U17" s="1"/>
    </row>
    <row r="18" spans="2:21" ht="15.75">
      <c r="B18" s="49" t="s">
        <v>19</v>
      </c>
      <c r="C18" s="35"/>
      <c r="D18" s="36"/>
      <c r="E18" s="31">
        <v>73.399999999999977</v>
      </c>
      <c r="F18" s="31">
        <v>103.21999999999998</v>
      </c>
      <c r="G18" s="31">
        <v>135.6</v>
      </c>
      <c r="H18" s="31">
        <v>64</v>
      </c>
      <c r="I18" s="31">
        <v>77.200000000000017</v>
      </c>
      <c r="J18" s="31">
        <v>154</v>
      </c>
      <c r="K18" s="31">
        <v>33.599999999999994</v>
      </c>
      <c r="L18" s="31">
        <v>42.400000000000013</v>
      </c>
      <c r="M18" s="31">
        <v>12.8</v>
      </c>
      <c r="N18" s="31">
        <v>0.40000000000000213</v>
      </c>
      <c r="O18" s="31">
        <v>116.4</v>
      </c>
      <c r="P18" s="31">
        <v>72.400000000000034</v>
      </c>
      <c r="Q18" s="7"/>
      <c r="R18" s="1"/>
      <c r="S18" s="1"/>
      <c r="T18" s="1"/>
      <c r="U18" s="1"/>
    </row>
    <row r="19" spans="2:21" ht="15.75">
      <c r="B19" s="49" t="s">
        <v>20</v>
      </c>
      <c r="C19" s="35"/>
      <c r="D19" s="36"/>
      <c r="E19" s="31">
        <v>3</v>
      </c>
      <c r="F19" s="31">
        <v>111</v>
      </c>
      <c r="G19" s="31">
        <v>49</v>
      </c>
      <c r="H19" s="31">
        <v>112</v>
      </c>
      <c r="I19" s="31">
        <v>64.150000000000006</v>
      </c>
      <c r="J19" s="31">
        <v>61</v>
      </c>
      <c r="K19" s="31">
        <v>-3</v>
      </c>
      <c r="L19" s="31">
        <v>6</v>
      </c>
      <c r="M19" s="31">
        <v>54</v>
      </c>
      <c r="N19" s="31">
        <v>130</v>
      </c>
      <c r="O19" s="31">
        <v>73</v>
      </c>
      <c r="P19" s="31">
        <v>77.360000000000014</v>
      </c>
      <c r="Q19" s="7"/>
      <c r="R19" s="1"/>
      <c r="S19" s="1"/>
      <c r="T19" s="1"/>
      <c r="U19" s="1"/>
    </row>
    <row r="20" spans="2:21" ht="15.75">
      <c r="B20" s="49" t="s">
        <v>21</v>
      </c>
      <c r="C20" s="35"/>
      <c r="D20" s="36"/>
      <c r="E20" s="31">
        <v>59</v>
      </c>
      <c r="F20" s="31">
        <v>119</v>
      </c>
      <c r="G20" s="31">
        <v>132</v>
      </c>
      <c r="H20" s="31">
        <v>22</v>
      </c>
      <c r="I20" s="31">
        <v>72</v>
      </c>
      <c r="J20" s="31">
        <v>7</v>
      </c>
      <c r="K20" s="31">
        <v>0</v>
      </c>
      <c r="L20" s="31">
        <v>0</v>
      </c>
      <c r="M20" s="31">
        <v>4</v>
      </c>
      <c r="N20" s="31">
        <v>3</v>
      </c>
      <c r="O20" s="31">
        <v>19</v>
      </c>
      <c r="P20" s="31">
        <v>2</v>
      </c>
      <c r="Q20" s="7"/>
      <c r="R20" s="88"/>
      <c r="S20" s="1"/>
      <c r="T20" s="1"/>
      <c r="U20" s="1"/>
    </row>
    <row r="21" spans="2:21" ht="15.75">
      <c r="B21" s="49" t="s">
        <v>22</v>
      </c>
      <c r="C21" s="35"/>
      <c r="D21" s="36"/>
      <c r="E21" s="31">
        <v>122.75</v>
      </c>
      <c r="F21" s="31">
        <v>129</v>
      </c>
      <c r="G21" s="31">
        <v>213</v>
      </c>
      <c r="H21" s="31">
        <v>179</v>
      </c>
      <c r="I21" s="31">
        <v>147</v>
      </c>
      <c r="J21" s="31">
        <v>123</v>
      </c>
      <c r="K21" s="31">
        <v>144</v>
      </c>
      <c r="L21" s="31">
        <v>135</v>
      </c>
      <c r="M21" s="31">
        <v>154</v>
      </c>
      <c r="N21" s="31">
        <v>239</v>
      </c>
      <c r="O21" s="31">
        <v>187</v>
      </c>
      <c r="P21" s="31">
        <v>2</v>
      </c>
      <c r="Q21" s="7"/>
      <c r="R21" s="1"/>
      <c r="S21" s="1"/>
      <c r="T21" s="1"/>
      <c r="U21" s="1"/>
    </row>
    <row r="22" spans="2:21" ht="15.75">
      <c r="B22" s="49" t="s">
        <v>23</v>
      </c>
      <c r="C22" s="35"/>
      <c r="D22" s="36"/>
      <c r="E22" s="31">
        <v>-2.5999999999999996</v>
      </c>
      <c r="F22" s="31">
        <v>31.975000000000001</v>
      </c>
      <c r="G22" s="31">
        <v>27.9</v>
      </c>
      <c r="H22" s="31">
        <v>22.45</v>
      </c>
      <c r="I22" s="31">
        <v>3.75</v>
      </c>
      <c r="J22" s="31">
        <v>1.25</v>
      </c>
      <c r="K22" s="31">
        <v>1.375</v>
      </c>
      <c r="L22" s="31">
        <v>0.5</v>
      </c>
      <c r="M22" s="31">
        <v>15.170000000000002</v>
      </c>
      <c r="N22" s="31">
        <v>41.42</v>
      </c>
      <c r="O22" s="31">
        <v>26.17</v>
      </c>
      <c r="P22" s="31">
        <v>184.79599999999999</v>
      </c>
      <c r="Q22" s="7"/>
      <c r="R22" s="1"/>
      <c r="S22" s="1"/>
      <c r="T22" s="1"/>
      <c r="U22" s="1"/>
    </row>
    <row r="23" spans="2:21" ht="15.75">
      <c r="B23" s="49" t="s">
        <v>24</v>
      </c>
      <c r="C23" s="35"/>
      <c r="D23" s="36"/>
      <c r="E23" s="31">
        <v>-1.6</v>
      </c>
      <c r="F23" s="31">
        <v>-0.8</v>
      </c>
      <c r="G23" s="31">
        <v>45.209999999999994</v>
      </c>
      <c r="H23" s="31">
        <v>14.599999999999998</v>
      </c>
      <c r="I23" s="31">
        <v>2.6000000000000005</v>
      </c>
      <c r="J23" s="31">
        <v>0.6</v>
      </c>
      <c r="K23" s="31">
        <v>88.92</v>
      </c>
      <c r="L23" s="31">
        <v>31.639999999999993</v>
      </c>
      <c r="M23" s="31">
        <v>10.800000000000004</v>
      </c>
      <c r="N23" s="31">
        <v>27.8</v>
      </c>
      <c r="O23" s="31">
        <v>0.4</v>
      </c>
      <c r="P23" s="31">
        <v>63.53</v>
      </c>
      <c r="Q23" s="7"/>
      <c r="R23" s="1"/>
      <c r="S23" s="1"/>
      <c r="T23" s="1"/>
      <c r="U23" s="1"/>
    </row>
    <row r="24" spans="2:21" ht="15.75">
      <c r="B24" s="49" t="s">
        <v>25</v>
      </c>
      <c r="C24" s="35"/>
      <c r="D24" s="36"/>
      <c r="E24" s="31">
        <v>93.549847715736064</v>
      </c>
      <c r="F24" s="31">
        <v>201.70223350253809</v>
      </c>
      <c r="G24" s="31">
        <v>355.12213197969527</v>
      </c>
      <c r="H24" s="31">
        <v>293.35578680203048</v>
      </c>
      <c r="I24" s="31">
        <v>330.73</v>
      </c>
      <c r="J24" s="31">
        <v>258.66000000000003</v>
      </c>
      <c r="K24" s="31">
        <v>16.079999999999998</v>
      </c>
      <c r="L24" s="31">
        <v>12</v>
      </c>
      <c r="M24" s="31">
        <v>132.62</v>
      </c>
      <c r="N24" s="31">
        <v>164.57999999999998</v>
      </c>
      <c r="O24" s="31">
        <v>188.38000000000002</v>
      </c>
      <c r="P24" s="31">
        <v>52.03</v>
      </c>
      <c r="Q24" s="7"/>
      <c r="R24" s="1"/>
      <c r="S24" s="1"/>
      <c r="T24" s="1"/>
      <c r="U24" s="1"/>
    </row>
    <row r="25" spans="2:21" ht="15.75">
      <c r="B25" s="49" t="s">
        <v>51</v>
      </c>
      <c r="C25" s="35"/>
      <c r="D25" s="36"/>
      <c r="E25" s="31">
        <v>244.34999999999997</v>
      </c>
      <c r="F25" s="31">
        <v>254.83000000000004</v>
      </c>
      <c r="G25" s="31">
        <v>284.58000000000004</v>
      </c>
      <c r="H25" s="31">
        <v>375.45</v>
      </c>
      <c r="I25" s="31">
        <v>291.89</v>
      </c>
      <c r="J25" s="31">
        <v>483.51</v>
      </c>
      <c r="K25" s="31">
        <v>437.15</v>
      </c>
      <c r="L25" s="31">
        <v>101.66300000000001</v>
      </c>
      <c r="M25" s="31">
        <v>309.53000000000009</v>
      </c>
      <c r="N25" s="31">
        <v>272.88</v>
      </c>
      <c r="O25" s="31">
        <v>328.2</v>
      </c>
      <c r="P25" s="31">
        <v>279.69</v>
      </c>
      <c r="Q25" s="7"/>
      <c r="R25" s="1"/>
      <c r="S25" s="1"/>
      <c r="T25" s="1"/>
      <c r="U25" s="1"/>
    </row>
    <row r="26" spans="2:21" ht="15.75">
      <c r="B26" s="49" t="s">
        <v>27</v>
      </c>
      <c r="C26" s="35"/>
      <c r="D26" s="36"/>
      <c r="E26" s="31">
        <v>76.599999999999994</v>
      </c>
      <c r="F26" s="31">
        <v>86.5</v>
      </c>
      <c r="G26" s="31">
        <v>93.5</v>
      </c>
      <c r="H26" s="31">
        <v>67.25</v>
      </c>
      <c r="I26" s="31">
        <v>58.25</v>
      </c>
      <c r="J26" s="31">
        <v>127.18</v>
      </c>
      <c r="K26" s="31">
        <v>83.75</v>
      </c>
      <c r="L26" s="31">
        <v>62</v>
      </c>
      <c r="M26" s="31">
        <v>99</v>
      </c>
      <c r="N26" s="31">
        <v>103.5</v>
      </c>
      <c r="O26" s="31">
        <v>70</v>
      </c>
      <c r="P26" s="31">
        <v>31</v>
      </c>
      <c r="Q26" s="7"/>
      <c r="R26" s="1"/>
      <c r="S26" s="1"/>
      <c r="T26" s="1"/>
      <c r="U26" s="1"/>
    </row>
    <row r="27" spans="2:21" ht="15.75">
      <c r="B27" s="49" t="s">
        <v>28</v>
      </c>
      <c r="C27" s="35"/>
      <c r="D27" s="36"/>
      <c r="E27" s="31">
        <v>102.9</v>
      </c>
      <c r="F27" s="31">
        <v>212.35</v>
      </c>
      <c r="G27" s="31">
        <v>24.810000000000002</v>
      </c>
      <c r="H27" s="31">
        <v>105.53999999999999</v>
      </c>
      <c r="I27" s="31">
        <v>81.75</v>
      </c>
      <c r="J27" s="31">
        <v>47.610000000000007</v>
      </c>
      <c r="K27" s="31">
        <v>76.510000000000019</v>
      </c>
      <c r="L27" s="31">
        <v>138.64000000000001</v>
      </c>
      <c r="M27" s="31">
        <v>129.16000000000003</v>
      </c>
      <c r="N27" s="31">
        <v>192.65000000000003</v>
      </c>
      <c r="O27" s="31">
        <v>216.3</v>
      </c>
      <c r="P27" s="31">
        <v>33.629999999999995</v>
      </c>
      <c r="Q27" s="7"/>
      <c r="R27" s="1"/>
      <c r="S27" s="1"/>
      <c r="T27" s="1"/>
      <c r="U27" s="1"/>
    </row>
    <row r="28" spans="2:21" ht="15.75">
      <c r="B28" s="49" t="s">
        <v>29</v>
      </c>
      <c r="C28" s="35"/>
      <c r="D28" s="36"/>
      <c r="E28" s="31">
        <v>0</v>
      </c>
      <c r="F28" s="31">
        <v>0</v>
      </c>
      <c r="G28" s="31">
        <v>0</v>
      </c>
      <c r="H28" s="31">
        <v>0</v>
      </c>
      <c r="I28" s="31">
        <v>27.759999999999998</v>
      </c>
      <c r="J28" s="31">
        <v>0</v>
      </c>
      <c r="K28" s="31">
        <v>77.05</v>
      </c>
      <c r="L28" s="31">
        <v>50.58</v>
      </c>
      <c r="M28" s="31">
        <v>174.52</v>
      </c>
      <c r="N28" s="31">
        <v>201.02</v>
      </c>
      <c r="O28" s="31">
        <v>0</v>
      </c>
      <c r="P28" s="31">
        <v>260.202</v>
      </c>
      <c r="Q28" s="7"/>
      <c r="R28" s="1"/>
      <c r="S28" s="1"/>
      <c r="T28" s="1"/>
      <c r="U28" s="1"/>
    </row>
    <row r="29" spans="2:21" ht="15.75">
      <c r="B29" s="49" t="s">
        <v>42</v>
      </c>
      <c r="C29" s="35"/>
      <c r="D29" s="36"/>
      <c r="E29" s="31">
        <v>0</v>
      </c>
      <c r="F29" s="31">
        <v>0</v>
      </c>
      <c r="G29" s="31">
        <v>0</v>
      </c>
      <c r="H29" s="31">
        <v>18</v>
      </c>
      <c r="I29" s="31">
        <v>0</v>
      </c>
      <c r="J29" s="31">
        <v>75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7"/>
      <c r="R29" s="1"/>
      <c r="S29" s="1"/>
      <c r="T29" s="1"/>
      <c r="U29" s="1"/>
    </row>
    <row r="30" spans="2:21" ht="15.75">
      <c r="B30" s="49" t="s">
        <v>50</v>
      </c>
      <c r="C30" s="35"/>
      <c r="D30" s="36"/>
      <c r="E30" s="31">
        <v>23.48</v>
      </c>
      <c r="F30" s="31">
        <v>77.660000000000011</v>
      </c>
      <c r="G30" s="31">
        <v>105.85</v>
      </c>
      <c r="H30" s="31">
        <v>162.19999999999999</v>
      </c>
      <c r="I30" s="31">
        <v>92.200000000000017</v>
      </c>
      <c r="J30" s="31">
        <v>249.52</v>
      </c>
      <c r="K30" s="31">
        <v>114.47999999999999</v>
      </c>
      <c r="L30" s="31">
        <v>81</v>
      </c>
      <c r="M30" s="31">
        <v>154.41</v>
      </c>
      <c r="N30" s="31">
        <v>80.52</v>
      </c>
      <c r="O30" s="31">
        <v>72.78</v>
      </c>
      <c r="P30" s="31">
        <v>0</v>
      </c>
      <c r="Q30" s="7"/>
      <c r="R30" s="1"/>
      <c r="S30" s="1"/>
      <c r="T30" s="1"/>
      <c r="U30" s="1"/>
    </row>
    <row r="31" spans="2:21" ht="15.75">
      <c r="B31" s="49" t="s">
        <v>35</v>
      </c>
      <c r="C31" s="35"/>
      <c r="D31" s="36"/>
      <c r="E31" s="31">
        <v>28.799999999999997</v>
      </c>
      <c r="F31" s="31">
        <v>37.199999999999996</v>
      </c>
      <c r="G31" s="31">
        <v>119.84000000000002</v>
      </c>
      <c r="H31" s="31">
        <v>14.589999999999989</v>
      </c>
      <c r="I31" s="31">
        <v>101.83000000000001</v>
      </c>
      <c r="J31" s="31">
        <v>52.42</v>
      </c>
      <c r="K31" s="31">
        <v>0</v>
      </c>
      <c r="L31" s="31">
        <v>21</v>
      </c>
      <c r="M31" s="31">
        <v>95.2</v>
      </c>
      <c r="N31" s="31">
        <v>0</v>
      </c>
      <c r="O31" s="31">
        <v>43.96</v>
      </c>
      <c r="P31" s="31">
        <v>0</v>
      </c>
      <c r="Q31" s="7"/>
      <c r="R31" s="1"/>
      <c r="S31" s="1"/>
      <c r="T31" s="1"/>
      <c r="U31" s="1"/>
    </row>
    <row r="32" spans="2:21" ht="15.75">
      <c r="B32" s="49" t="s">
        <v>36</v>
      </c>
      <c r="C32" s="35"/>
      <c r="D32" s="36"/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111.08</v>
      </c>
      <c r="L32" s="31">
        <v>315</v>
      </c>
      <c r="M32" s="31">
        <v>472</v>
      </c>
      <c r="N32" s="31">
        <v>35</v>
      </c>
      <c r="O32" s="31">
        <v>28</v>
      </c>
      <c r="P32" s="31">
        <v>58</v>
      </c>
      <c r="Q32" s="7"/>
      <c r="R32" s="1"/>
      <c r="S32" s="1"/>
      <c r="T32" s="1"/>
      <c r="U32" s="1"/>
    </row>
    <row r="33" spans="2:21" ht="15.75">
      <c r="B33" s="49" t="s">
        <v>34</v>
      </c>
      <c r="C33" s="35"/>
      <c r="D33" s="36"/>
      <c r="E33" s="31">
        <v>240</v>
      </c>
      <c r="F33" s="31">
        <v>392</v>
      </c>
      <c r="G33" s="31">
        <v>162.57499999999999</v>
      </c>
      <c r="H33" s="31">
        <v>643.77499999999998</v>
      </c>
      <c r="I33" s="31">
        <v>448.42999999999995</v>
      </c>
      <c r="J33" s="31">
        <v>541.30999999999995</v>
      </c>
      <c r="K33" s="31">
        <v>348.31</v>
      </c>
      <c r="L33" s="31">
        <v>192.28</v>
      </c>
      <c r="M33" s="31">
        <v>268.28999999999996</v>
      </c>
      <c r="N33" s="31">
        <v>294.5</v>
      </c>
      <c r="O33" s="31">
        <v>405.21999999999997</v>
      </c>
      <c r="P33" s="31">
        <v>429.71000000000004</v>
      </c>
      <c r="Q33" s="7"/>
      <c r="R33" s="1"/>
      <c r="S33" s="1"/>
      <c r="T33" s="1"/>
      <c r="U33" s="1"/>
    </row>
    <row r="34" spans="2:21" s="1" customFormat="1" ht="15.75">
      <c r="B34" s="133" t="s">
        <v>98</v>
      </c>
      <c r="C34" s="134"/>
      <c r="D34" s="135"/>
      <c r="E34" s="136">
        <v>0</v>
      </c>
      <c r="F34" s="136">
        <v>3</v>
      </c>
      <c r="G34" s="136">
        <v>0</v>
      </c>
      <c r="H34" s="136">
        <v>0</v>
      </c>
      <c r="I34" s="136">
        <v>0</v>
      </c>
      <c r="J34" s="136">
        <v>3</v>
      </c>
      <c r="K34" s="136">
        <v>0</v>
      </c>
      <c r="L34" s="136">
        <v>0</v>
      </c>
      <c r="M34" s="136">
        <v>0</v>
      </c>
      <c r="N34" s="136">
        <v>0</v>
      </c>
      <c r="O34" s="31">
        <v>0</v>
      </c>
      <c r="P34" s="31">
        <v>0</v>
      </c>
      <c r="Q34" s="7"/>
    </row>
    <row r="35" spans="2:21" ht="15.75">
      <c r="B35" s="50" t="s">
        <v>60</v>
      </c>
      <c r="C35" s="37"/>
      <c r="D35" s="38"/>
      <c r="E35" s="32">
        <v>3007.9998477157365</v>
      </c>
      <c r="F35" s="32">
        <v>4074.8772335025374</v>
      </c>
      <c r="G35" s="32">
        <v>3599.8171319796957</v>
      </c>
      <c r="H35" s="32">
        <v>4417.5807868020302</v>
      </c>
      <c r="I35" s="32">
        <v>4037.5199999999995</v>
      </c>
      <c r="J35" s="32">
        <v>4533.6400000000003</v>
      </c>
      <c r="K35" s="32">
        <v>3667.0750000000003</v>
      </c>
      <c r="L35" s="32">
        <v>2891.223</v>
      </c>
      <c r="M35" s="32">
        <v>4200.3700000000008</v>
      </c>
      <c r="N35" s="32">
        <v>4082.91</v>
      </c>
      <c r="O35" s="104">
        <v>2935.1500000000005</v>
      </c>
      <c r="P35" s="104">
        <v>4033.8030000000008</v>
      </c>
      <c r="Q35" s="122">
        <v>45481.966000000008</v>
      </c>
      <c r="R35" s="98" t="s">
        <v>64</v>
      </c>
      <c r="S35" s="1"/>
      <c r="T35" s="1"/>
      <c r="U35" s="1"/>
    </row>
    <row r="36" spans="2:21">
      <c r="B36" s="1"/>
      <c r="C36" s="1"/>
      <c r="D36" s="1" t="s">
        <v>62</v>
      </c>
      <c r="E36" s="1">
        <v>285</v>
      </c>
      <c r="F36" s="107">
        <v>308</v>
      </c>
      <c r="G36" s="112">
        <v>319</v>
      </c>
      <c r="H36" s="112">
        <v>441</v>
      </c>
      <c r="I36" s="112">
        <v>359</v>
      </c>
      <c r="J36" s="112">
        <v>347</v>
      </c>
      <c r="K36" s="112">
        <v>429</v>
      </c>
      <c r="L36" s="112">
        <v>255</v>
      </c>
      <c r="M36" s="112">
        <v>398</v>
      </c>
      <c r="N36" s="112">
        <v>411</v>
      </c>
      <c r="O36" s="112">
        <v>374</v>
      </c>
      <c r="P36" s="107">
        <v>366</v>
      </c>
      <c r="Q36" s="1">
        <v>4292</v>
      </c>
      <c r="R36" s="1" t="s">
        <v>65</v>
      </c>
      <c r="S36" s="1"/>
      <c r="T36" s="1"/>
      <c r="U36" s="1"/>
    </row>
    <row r="37" spans="2:21">
      <c r="B37" s="1"/>
      <c r="C37" s="1"/>
      <c r="D37" s="88" t="s">
        <v>67</v>
      </c>
      <c r="E37" s="74">
        <v>10.554385430581531</v>
      </c>
      <c r="F37" s="74">
        <v>13.230120887995252</v>
      </c>
      <c r="G37" s="74">
        <v>11.284693203698106</v>
      </c>
      <c r="H37" s="74">
        <v>10.017189992748367</v>
      </c>
      <c r="I37" s="74">
        <v>11.246573816155987</v>
      </c>
      <c r="J37" s="74">
        <v>13.065244956772336</v>
      </c>
      <c r="K37" s="74">
        <v>8.5479603729603735</v>
      </c>
      <c r="L37" s="74">
        <v>11.338129411764706</v>
      </c>
      <c r="M37" s="74">
        <v>10.553693467336686</v>
      </c>
      <c r="N37" s="74">
        <v>9.9340875912408748</v>
      </c>
      <c r="O37" s="74">
        <v>7.8479946524064186</v>
      </c>
      <c r="P37" s="74">
        <v>11.021319672131149</v>
      </c>
      <c r="Q37" s="74">
        <v>10.596916589002797</v>
      </c>
      <c r="R37" s="74" t="s">
        <v>66</v>
      </c>
      <c r="S37" s="1"/>
      <c r="T37" s="1"/>
      <c r="U37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A36" sqref="A36"/>
    </sheetView>
  </sheetViews>
  <sheetFormatPr defaultRowHeight="15"/>
  <cols>
    <col min="1" max="1" width="10.28515625" style="1" customWidth="1"/>
    <col min="2" max="2" width="5.7109375" style="1" bestFit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71">
        <v>2021</v>
      </c>
      <c r="B2" s="172"/>
    </row>
    <row r="3" spans="1:14" ht="69.75" customHeight="1">
      <c r="A3" s="108" t="s">
        <v>93</v>
      </c>
      <c r="B3" s="151" t="s">
        <v>102</v>
      </c>
      <c r="C3" s="111"/>
    </row>
    <row r="4" spans="1:14">
      <c r="A4" s="86" t="s">
        <v>30</v>
      </c>
      <c r="B4" s="152">
        <v>3322.7699999999995</v>
      </c>
    </row>
    <row r="5" spans="1:14">
      <c r="A5" s="86" t="s">
        <v>31</v>
      </c>
      <c r="B5" s="152">
        <v>2878.56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>
      <c r="A6" s="86" t="s">
        <v>32</v>
      </c>
      <c r="B6" s="152">
        <v>2821.2270304568528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</row>
    <row r="7" spans="1:14">
      <c r="A7" s="86" t="s">
        <v>33</v>
      </c>
      <c r="B7" s="152">
        <v>1609.28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4">
      <c r="A8" s="86" t="s">
        <v>38</v>
      </c>
      <c r="B8" s="152">
        <v>1397.6400000000003</v>
      </c>
    </row>
    <row r="9" spans="1:14">
      <c r="A9" s="86" t="s">
        <v>52</v>
      </c>
      <c r="B9" s="152">
        <v>1953.66</v>
      </c>
    </row>
    <row r="10" spans="1:14">
      <c r="A10" s="86" t="s">
        <v>54</v>
      </c>
      <c r="B10" s="152">
        <v>2292.2800000000007</v>
      </c>
      <c r="C10" s="111"/>
    </row>
    <row r="11" spans="1:14">
      <c r="A11" s="86" t="s">
        <v>55</v>
      </c>
      <c r="B11" s="152">
        <v>1513.6999999999998</v>
      </c>
      <c r="C11" s="111"/>
    </row>
    <row r="12" spans="1:14">
      <c r="A12" s="86" t="s">
        <v>56</v>
      </c>
      <c r="B12" s="152">
        <v>1815.54</v>
      </c>
      <c r="C12" s="111"/>
    </row>
    <row r="13" spans="1:14">
      <c r="A13" s="86" t="s">
        <v>57</v>
      </c>
      <c r="B13" s="152">
        <v>1710.54</v>
      </c>
      <c r="C13" s="111"/>
    </row>
    <row r="14" spans="1:14">
      <c r="A14" s="86" t="s">
        <v>58</v>
      </c>
      <c r="B14" s="152">
        <v>2123.7900000000004</v>
      </c>
      <c r="C14" s="111"/>
    </row>
    <row r="15" spans="1:14">
      <c r="A15" s="86" t="s">
        <v>59</v>
      </c>
      <c r="B15" s="152">
        <v>2068.9900000000002</v>
      </c>
      <c r="C15" s="111"/>
    </row>
    <row r="16" spans="1:14" ht="38.25">
      <c r="A16" s="117" t="s">
        <v>105</v>
      </c>
      <c r="B16" s="152">
        <f>SUM(B4:B15)/12</f>
        <v>2125.6647525380718</v>
      </c>
      <c r="C16" s="111"/>
    </row>
    <row r="17" spans="1:3">
      <c r="A17" s="117"/>
      <c r="B17" s="153"/>
      <c r="C17" s="111"/>
    </row>
    <row r="18" spans="1:3" ht="22.5">
      <c r="A18" s="127" t="s">
        <v>116</v>
      </c>
      <c r="B18" s="150">
        <f>SUM(B4:B15)/12</f>
        <v>2125.6647525380718</v>
      </c>
      <c r="C18" s="111"/>
    </row>
    <row r="19" spans="1:3">
      <c r="C19" s="111"/>
    </row>
    <row r="20" spans="1:3">
      <c r="C20" s="111"/>
    </row>
    <row r="21" spans="1:3" ht="15.75">
      <c r="A21" s="173">
        <v>2022</v>
      </c>
      <c r="B21" s="174"/>
      <c r="C21" s="111"/>
    </row>
    <row r="22" spans="1:3" ht="65.25">
      <c r="A22" s="108" t="s">
        <v>93</v>
      </c>
      <c r="B22" s="109" t="s">
        <v>106</v>
      </c>
      <c r="C22" s="111"/>
    </row>
    <row r="23" spans="1:3">
      <c r="A23" s="86" t="s">
        <v>30</v>
      </c>
      <c r="B23" s="149">
        <v>2429.5601522842635</v>
      </c>
    </row>
    <row r="24" spans="1:3">
      <c r="A24" s="86" t="s">
        <v>31</v>
      </c>
      <c r="B24" s="149">
        <v>1972.1529187817259</v>
      </c>
    </row>
    <row r="25" spans="1:3">
      <c r="A25" s="86" t="s">
        <v>32</v>
      </c>
      <c r="B25" s="149">
        <v>2090.6557868020304</v>
      </c>
    </row>
    <row r="26" spans="1:3">
      <c r="A26" s="86" t="s">
        <v>33</v>
      </c>
      <c r="B26" s="149">
        <v>1685.12</v>
      </c>
    </row>
    <row r="27" spans="1:3">
      <c r="A27" s="86" t="s">
        <v>38</v>
      </c>
      <c r="B27" s="149">
        <v>1331.92</v>
      </c>
    </row>
    <row r="28" spans="1:3">
      <c r="A28" s="86" t="s">
        <v>52</v>
      </c>
      <c r="B28" s="149">
        <v>1331.92</v>
      </c>
    </row>
    <row r="29" spans="1:3">
      <c r="A29" s="86" t="s">
        <v>54</v>
      </c>
      <c r="B29" s="149">
        <v>2025.66</v>
      </c>
    </row>
    <row r="30" spans="1:3">
      <c r="A30" s="86" t="s">
        <v>55</v>
      </c>
      <c r="B30" s="149">
        <v>1686.9999999999998</v>
      </c>
    </row>
    <row r="31" spans="1:3">
      <c r="A31" s="86" t="s">
        <v>56</v>
      </c>
      <c r="B31" s="149">
        <v>1421.7599999999998</v>
      </c>
    </row>
    <row r="32" spans="1:3">
      <c r="A32" s="86" t="s">
        <v>57</v>
      </c>
      <c r="B32" s="149">
        <v>1270.28</v>
      </c>
    </row>
    <row r="33" spans="1:2">
      <c r="A33" s="86" t="s">
        <v>58</v>
      </c>
      <c r="B33" s="149">
        <v>1528.5800000000004</v>
      </c>
    </row>
    <row r="34" spans="1:2">
      <c r="A34" s="86" t="s">
        <v>59</v>
      </c>
      <c r="B34" s="149">
        <v>2182.71</v>
      </c>
    </row>
    <row r="35" spans="1:2" ht="25.5">
      <c r="A35" s="117" t="s">
        <v>99</v>
      </c>
      <c r="B35" s="149">
        <f>SUM(B23:B34)/12</f>
        <v>1746.4432381556683</v>
      </c>
    </row>
    <row r="36" spans="1:2" ht="33.75">
      <c r="A36" s="118" t="s">
        <v>115</v>
      </c>
      <c r="B36" s="150">
        <f>B35-B18</f>
        <v>-379.22151438240348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2021-2022</vt:lpstr>
      <vt:lpstr>'Giacenza 2021-2022'!Area_stampa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2023-01-12T22:23:21Z</dcterms:modified>
</cp:coreProperties>
</file>